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inssgov.sharepoint.com/sites/CEAD-ENGManuteno/Shared Documents/Planejamento manutenção predial 2024-2025/POLOS I-II-IX-X/Planilhas/"/>
    </mc:Choice>
  </mc:AlternateContent>
  <xr:revisionPtr revIDLastSave="88" documentId="13_ncr:1_{0D4B7214-4D2D-4540-BABE-F97E98521670}" xr6:coauthVersionLast="47" xr6:coauthVersionMax="47" xr10:uidLastSave="{DAC60F6E-D023-41A0-BBDA-E65F57682783}"/>
  <bookViews>
    <workbookView xWindow="-28920" yWindow="-120" windowWidth="29040" windowHeight="15720" tabRatio="934" xr2:uid="{00000000-000D-0000-FFFF-FFFF00000000}"/>
  </bookViews>
  <sheets>
    <sheet name="Valor da Contratação" sheetId="1" r:id="rId1"/>
    <sheet name="Resumo" sheetId="2" r:id="rId2"/>
    <sheet name="Equipe Técnica" sheetId="3" r:id="rId3"/>
    <sheet name="Base PF" sheetId="4" r:id="rId4"/>
    <sheet name="Desl. Base PF" sheetId="5" r:id="rId5"/>
    <sheet name="Comp. Veículo" sheetId="6" r:id="rId6"/>
    <sheet name="Custo Eng. Eletricista" sheetId="7" r:id="rId7"/>
    <sheet name="Comp. Eng. Eletricista" sheetId="8" r:id="rId8"/>
    <sheet name="Custo Oficial de Manutenção" sheetId="9" r:id="rId9"/>
    <sheet name="Comp. Oficial de Manutenção" sheetId="10" r:id="rId10"/>
    <sheet name="Unidades" sheetId="11" r:id="rId11"/>
    <sheet name="BDI" sheetId="12" r:id="rId12"/>
  </sheets>
  <definedNames>
    <definedName name="___xlnm__FilterDatabase_6">#REF!</definedName>
    <definedName name="_FilterDatabase_3">#REF!</definedName>
    <definedName name="_xlnm.Print_Area" localSheetId="3">'Base PF'!$B$2:$AW$30</definedName>
    <definedName name="_xlnm.Print_Area" localSheetId="11">BDI!$B$1:$J$44</definedName>
    <definedName name="_xlnm.Print_Area" localSheetId="4">'Desl. Base PF'!$B$2:$M$39</definedName>
    <definedName name="_xlnm.Print_Area" localSheetId="2">'Equipe Técnica'!$B$2:$E$13</definedName>
    <definedName name="_xlnm.Print_Area" localSheetId="10">Unidades!$B$2:$H$18</definedName>
    <definedName name="Excel_BuiltIn__FilterDatabase_9_1">#REF!</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Q14" i="5" l="1"/>
  <c r="Q13" i="5"/>
  <c r="Q22" i="5"/>
  <c r="Q20" i="5"/>
  <c r="M22" i="5"/>
  <c r="J22" i="5"/>
  <c r="H22" i="5"/>
  <c r="J20" i="5"/>
  <c r="H20" i="5"/>
  <c r="J18" i="5"/>
  <c r="H18" i="5"/>
  <c r="I17" i="5"/>
  <c r="H17" i="5"/>
  <c r="J15" i="5"/>
  <c r="H15" i="5"/>
  <c r="J13" i="5"/>
  <c r="I13" i="5"/>
  <c r="H13" i="5"/>
  <c r="H11" i="5"/>
  <c r="J9" i="5"/>
  <c r="H9" i="5"/>
  <c r="H7" i="5"/>
  <c r="E7" i="5"/>
  <c r="G15" i="8"/>
  <c r="H6" i="11"/>
  <c r="H7" i="11"/>
  <c r="H8" i="11"/>
  <c r="H9" i="11"/>
  <c r="H10" i="11"/>
  <c r="H11" i="11"/>
  <c r="H12" i="11"/>
  <c r="H13" i="11"/>
  <c r="H14" i="11"/>
  <c r="H15" i="11"/>
  <c r="H16" i="11"/>
  <c r="H17" i="11"/>
  <c r="H18" i="11"/>
  <c r="H19" i="11"/>
  <c r="H20" i="11"/>
  <c r="H21" i="11"/>
  <c r="H22" i="11"/>
  <c r="H23" i="11"/>
  <c r="H5" i="11"/>
  <c r="K8" i="4"/>
  <c r="K9" i="4"/>
  <c r="K10" i="4"/>
  <c r="K11" i="4"/>
  <c r="K12" i="4"/>
  <c r="K13" i="4"/>
  <c r="K14" i="4"/>
  <c r="K15" i="4"/>
  <c r="K16" i="4"/>
  <c r="K17" i="4"/>
  <c r="K18" i="4"/>
  <c r="K19" i="4"/>
  <c r="K20" i="4"/>
  <c r="K21" i="4"/>
  <c r="K22" i="4"/>
  <c r="K23" i="4"/>
  <c r="K24" i="4"/>
  <c r="K25" i="4"/>
  <c r="X8" i="4" l="1"/>
  <c r="X9" i="4"/>
  <c r="X10" i="4"/>
  <c r="X11" i="4"/>
  <c r="X12" i="4"/>
  <c r="X13" i="4"/>
  <c r="X14" i="4"/>
  <c r="X15" i="4"/>
  <c r="X16" i="4"/>
  <c r="X17" i="4"/>
  <c r="X18" i="4"/>
  <c r="X19" i="4"/>
  <c r="X20" i="4"/>
  <c r="X21" i="4"/>
  <c r="X22" i="4"/>
  <c r="X24" i="4"/>
  <c r="X7" i="4"/>
  <c r="Q23" i="5"/>
  <c r="P22" i="5"/>
  <c r="K22" i="5"/>
  <c r="L22" i="5" s="1"/>
  <c r="O22" i="5" s="1"/>
  <c r="O23" i="5" s="1"/>
  <c r="G22" i="5"/>
  <c r="Q21" i="5"/>
  <c r="K20" i="5"/>
  <c r="L20" i="5" s="1"/>
  <c r="O20" i="5" s="1"/>
  <c r="O21" i="5" s="1"/>
  <c r="G20" i="5"/>
  <c r="K18" i="5"/>
  <c r="L18" i="5" s="1"/>
  <c r="O18" i="5" s="1"/>
  <c r="O19" i="5" s="1"/>
  <c r="G18" i="5"/>
  <c r="K17" i="5"/>
  <c r="L17" i="5" s="1"/>
  <c r="O17" i="5" s="1"/>
  <c r="G17" i="5"/>
  <c r="K15" i="5"/>
  <c r="L15" i="5" s="1"/>
  <c r="O15" i="5" s="1"/>
  <c r="O16" i="5" s="1"/>
  <c r="G15" i="5"/>
  <c r="K13" i="5"/>
  <c r="L13" i="5" s="1"/>
  <c r="O13" i="5" s="1"/>
  <c r="O14" i="5" s="1"/>
  <c r="G13" i="5"/>
  <c r="P11" i="5"/>
  <c r="P12" i="5" s="1"/>
  <c r="K11" i="5"/>
  <c r="L11" i="5" s="1"/>
  <c r="O11" i="5" s="1"/>
  <c r="O12" i="5" s="1"/>
  <c r="G11" i="5"/>
  <c r="K9" i="5"/>
  <c r="L9" i="5" s="1"/>
  <c r="O9" i="5" s="1"/>
  <c r="O10" i="5" s="1"/>
  <c r="G9" i="5"/>
  <c r="K7" i="5"/>
  <c r="L7" i="5" s="1"/>
  <c r="O7" i="5" s="1"/>
  <c r="O8" i="5" s="1"/>
  <c r="G7" i="5"/>
  <c r="K5" i="5"/>
  <c r="L5" i="5" s="1"/>
  <c r="O5" i="5" s="1"/>
  <c r="G5" i="5"/>
  <c r="P23" i="5" l="1"/>
  <c r="X23" i="4" s="1"/>
  <c r="P24" i="5"/>
  <c r="O6" i="5"/>
  <c r="O24" i="5"/>
  <c r="X25" i="4"/>
  <c r="D42" i="12" l="1"/>
  <c r="J30" i="12"/>
  <c r="E30" i="12"/>
  <c r="D30" i="12"/>
  <c r="J29" i="12"/>
  <c r="I29" i="12"/>
  <c r="I30" i="12" s="1"/>
  <c r="E29" i="12"/>
  <c r="D29" i="12"/>
  <c r="J28" i="12"/>
  <c r="I28" i="12"/>
  <c r="H28" i="12"/>
  <c r="H29" i="12" s="1"/>
  <c r="H30" i="12" s="1"/>
  <c r="G28" i="12"/>
  <c r="G29" i="12" s="1"/>
  <c r="G30" i="12" s="1"/>
  <c r="F28" i="12"/>
  <c r="F29" i="12" s="1"/>
  <c r="F30" i="12" s="1"/>
  <c r="E28" i="12"/>
  <c r="B3" i="12"/>
  <c r="B2" i="11"/>
  <c r="I22" i="10"/>
  <c r="I21" i="10"/>
  <c r="I20" i="10"/>
  <c r="I19" i="10"/>
  <c r="I18" i="10"/>
  <c r="I17" i="10"/>
  <c r="I16" i="10"/>
  <c r="I14" i="10"/>
  <c r="C17" i="9"/>
  <c r="C19" i="9" s="1"/>
  <c r="C16" i="9"/>
  <c r="C18" i="9" s="1"/>
  <c r="G15" i="10" s="1"/>
  <c r="I15" i="10" s="1"/>
  <c r="I20" i="8"/>
  <c r="I19" i="8"/>
  <c r="I18" i="8"/>
  <c r="I17" i="8"/>
  <c r="I15" i="8"/>
  <c r="C14" i="7"/>
  <c r="C13" i="7"/>
  <c r="G16" i="8" s="1"/>
  <c r="I16" i="8" s="1"/>
  <c r="G32" i="6"/>
  <c r="I32" i="6" s="1"/>
  <c r="G31" i="6"/>
  <c r="I31" i="6" s="1"/>
  <c r="G30" i="6"/>
  <c r="I30" i="6" s="1"/>
  <c r="D24" i="6"/>
  <c r="D23" i="6"/>
  <c r="I18" i="6"/>
  <c r="I17" i="6"/>
  <c r="I16" i="6"/>
  <c r="I15" i="6"/>
  <c r="I14" i="6"/>
  <c r="C38" i="5"/>
  <c r="N24" i="5"/>
  <c r="M24" i="5"/>
  <c r="Q24" i="5"/>
  <c r="C4" i="5"/>
  <c r="B2" i="5"/>
  <c r="B30" i="4"/>
  <c r="AI25" i="4"/>
  <c r="AJ25" i="4" s="1"/>
  <c r="Q25" i="4"/>
  <c r="J25" i="4"/>
  <c r="F25" i="4"/>
  <c r="E25" i="4"/>
  <c r="D25" i="4"/>
  <c r="C25" i="4"/>
  <c r="AI24" i="4"/>
  <c r="Q24" i="4"/>
  <c r="J24" i="4"/>
  <c r="F24" i="4"/>
  <c r="E24" i="4"/>
  <c r="D24" i="4"/>
  <c r="C24" i="4"/>
  <c r="AI23" i="4"/>
  <c r="Q23" i="4"/>
  <c r="W23" i="4" s="1"/>
  <c r="J23" i="4"/>
  <c r="F23" i="4"/>
  <c r="E23" i="4"/>
  <c r="D23" i="4"/>
  <c r="C23" i="4"/>
  <c r="AI22" i="4"/>
  <c r="AJ22" i="4" s="1"/>
  <c r="Q22" i="4"/>
  <c r="R21" i="5"/>
  <c r="J22" i="4"/>
  <c r="F22" i="4"/>
  <c r="E22" i="4"/>
  <c r="D22" i="4"/>
  <c r="C22" i="4"/>
  <c r="AI21" i="4"/>
  <c r="Q21" i="4"/>
  <c r="J21" i="4"/>
  <c r="F21" i="4"/>
  <c r="E21" i="4"/>
  <c r="D21" i="4"/>
  <c r="C21" i="4"/>
  <c r="AI20" i="4"/>
  <c r="Q20" i="4"/>
  <c r="J20" i="4"/>
  <c r="F20" i="4"/>
  <c r="E20" i="4"/>
  <c r="D20" i="4"/>
  <c r="C20" i="4"/>
  <c r="AI19" i="4"/>
  <c r="AJ19" i="4" s="1"/>
  <c r="Q19" i="4"/>
  <c r="W19" i="4" s="1"/>
  <c r="R5" i="5"/>
  <c r="J19" i="4"/>
  <c r="F19" i="4"/>
  <c r="E19" i="4"/>
  <c r="D19" i="4"/>
  <c r="C19" i="4"/>
  <c r="AI18" i="4"/>
  <c r="Q18" i="4"/>
  <c r="W18" i="4" s="1"/>
  <c r="J18" i="4"/>
  <c r="F18" i="4"/>
  <c r="E18" i="4"/>
  <c r="D18" i="4"/>
  <c r="C18" i="4"/>
  <c r="AI17" i="4"/>
  <c r="AJ17" i="4" s="1"/>
  <c r="Q17" i="4"/>
  <c r="J17" i="4"/>
  <c r="F17" i="4"/>
  <c r="E17" i="4"/>
  <c r="D17" i="4"/>
  <c r="C17" i="4"/>
  <c r="AI16" i="4"/>
  <c r="Q16" i="4"/>
  <c r="J16" i="4"/>
  <c r="F16" i="4"/>
  <c r="E16" i="4"/>
  <c r="D16" i="4"/>
  <c r="C16" i="4"/>
  <c r="AI15" i="4"/>
  <c r="W15" i="4"/>
  <c r="Q15" i="4"/>
  <c r="J15" i="4"/>
  <c r="F15" i="4"/>
  <c r="E15" i="4"/>
  <c r="D15" i="4"/>
  <c r="C15" i="4"/>
  <c r="AI14" i="4"/>
  <c r="Q14" i="4"/>
  <c r="W14" i="4" s="1"/>
  <c r="J14" i="4"/>
  <c r="F14" i="4"/>
  <c r="E14" i="4"/>
  <c r="D14" i="4"/>
  <c r="C14" i="4"/>
  <c r="AI13" i="4"/>
  <c r="Q13" i="4"/>
  <c r="J13" i="4"/>
  <c r="F13" i="4"/>
  <c r="E13" i="4"/>
  <c r="D13" i="4"/>
  <c r="C13" i="4"/>
  <c r="AI12" i="4"/>
  <c r="Q12" i="4"/>
  <c r="W12" i="4" s="1"/>
  <c r="J12" i="4"/>
  <c r="F12" i="4"/>
  <c r="E12" i="4"/>
  <c r="D12" i="4"/>
  <c r="C12" i="4"/>
  <c r="AI11" i="4"/>
  <c r="Q11" i="4"/>
  <c r="J11" i="4"/>
  <c r="F11" i="4"/>
  <c r="E11" i="4"/>
  <c r="D11" i="4"/>
  <c r="C11" i="4"/>
  <c r="AI10" i="4"/>
  <c r="Q10" i="4"/>
  <c r="R13" i="5"/>
  <c r="J10" i="4"/>
  <c r="F10" i="4"/>
  <c r="E10" i="4"/>
  <c r="D10" i="4"/>
  <c r="C10" i="4"/>
  <c r="AI9" i="4"/>
  <c r="Q9" i="4"/>
  <c r="R15" i="5"/>
  <c r="J9" i="4"/>
  <c r="F9" i="4"/>
  <c r="E9" i="4"/>
  <c r="D9" i="4"/>
  <c r="C9" i="4"/>
  <c r="AI8" i="4"/>
  <c r="Q8" i="4"/>
  <c r="R11" i="5"/>
  <c r="J8" i="4"/>
  <c r="F8" i="4"/>
  <c r="E8" i="4"/>
  <c r="D8" i="4"/>
  <c r="C8" i="4"/>
  <c r="AI7" i="4"/>
  <c r="Q7" i="4"/>
  <c r="K7" i="4"/>
  <c r="R7" i="5" s="1"/>
  <c r="J7" i="4"/>
  <c r="F7" i="4"/>
  <c r="E7" i="4"/>
  <c r="D7" i="4"/>
  <c r="C7" i="4"/>
  <c r="AS4" i="4"/>
  <c r="AI2" i="4"/>
  <c r="Q2" i="4"/>
  <c r="B2" i="4"/>
  <c r="E8" i="3"/>
  <c r="C8" i="3"/>
  <c r="E7" i="3"/>
  <c r="C7" i="3"/>
  <c r="B2" i="3"/>
  <c r="B29" i="2"/>
  <c r="B28" i="2"/>
  <c r="B27" i="2"/>
  <c r="B26" i="2"/>
  <c r="B25" i="2"/>
  <c r="B24" i="2"/>
  <c r="B23" i="2"/>
  <c r="B22" i="2"/>
  <c r="B21" i="2"/>
  <c r="B20" i="2"/>
  <c r="B19" i="2"/>
  <c r="B18" i="2"/>
  <c r="B17" i="2"/>
  <c r="B16" i="2"/>
  <c r="B15" i="2"/>
  <c r="B14" i="2"/>
  <c r="B13" i="2"/>
  <c r="B12" i="2"/>
  <c r="B11" i="2"/>
  <c r="B10" i="2"/>
  <c r="B8" i="2"/>
  <c r="B6" i="2"/>
  <c r="B2" i="2"/>
  <c r="R14" i="5" l="1"/>
  <c r="R23" i="5"/>
  <c r="R8" i="5"/>
  <c r="R12" i="5"/>
  <c r="R19" i="5"/>
  <c r="R9" i="5"/>
  <c r="R20" i="5"/>
  <c r="R18" i="5"/>
  <c r="R6" i="5"/>
  <c r="R16" i="5"/>
  <c r="R17" i="5"/>
  <c r="R10" i="5"/>
  <c r="R22" i="5"/>
  <c r="D27" i="6"/>
  <c r="E29" i="5" s="1"/>
  <c r="D11" i="6"/>
  <c r="E28" i="5" s="1"/>
  <c r="D11" i="8"/>
  <c r="D5" i="3" s="1"/>
  <c r="D8" i="3" s="1"/>
  <c r="C13" i="3" s="1"/>
  <c r="W11" i="4"/>
  <c r="G10" i="4"/>
  <c r="H10" i="4" s="1"/>
  <c r="L10" i="4" s="1"/>
  <c r="G14" i="4"/>
  <c r="H14" i="4" s="1"/>
  <c r="L14" i="4" s="1"/>
  <c r="G19" i="4"/>
  <c r="H19" i="4" s="1"/>
  <c r="L19" i="4" s="1"/>
  <c r="W22" i="4"/>
  <c r="G25" i="4"/>
  <c r="H25" i="4" s="1"/>
  <c r="M25" i="4" s="1"/>
  <c r="G12" i="4"/>
  <c r="H12" i="4" s="1"/>
  <c r="M12" i="4" s="1"/>
  <c r="G16" i="4"/>
  <c r="H16" i="4" s="1"/>
  <c r="I16" i="4" s="1"/>
  <c r="G20" i="4"/>
  <c r="H20" i="4" s="1"/>
  <c r="I20" i="4" s="1"/>
  <c r="G8" i="4"/>
  <c r="H8" i="4" s="1"/>
  <c r="I8" i="4" s="1"/>
  <c r="G11" i="4"/>
  <c r="H11" i="4" s="1"/>
  <c r="L11" i="4" s="1"/>
  <c r="G15" i="4"/>
  <c r="H15" i="4" s="1"/>
  <c r="M15" i="4" s="1"/>
  <c r="G23" i="4"/>
  <c r="H23" i="4" s="1"/>
  <c r="I23" i="4" s="1"/>
  <c r="G22" i="4"/>
  <c r="H22" i="4" s="1"/>
  <c r="M22" i="4" s="1"/>
  <c r="G9" i="4"/>
  <c r="H9" i="4" s="1"/>
  <c r="L9" i="4" s="1"/>
  <c r="G13" i="4"/>
  <c r="H13" i="4" s="1"/>
  <c r="L13" i="4" s="1"/>
  <c r="G24" i="4"/>
  <c r="H24" i="4" s="1"/>
  <c r="M24" i="4" s="1"/>
  <c r="G17" i="4"/>
  <c r="H17" i="4" s="1"/>
  <c r="L17" i="4" s="1"/>
  <c r="G21" i="4"/>
  <c r="H21" i="4" s="1"/>
  <c r="L21" i="4" s="1"/>
  <c r="F26" i="4"/>
  <c r="AJ16" i="4"/>
  <c r="W17" i="4"/>
  <c r="W21" i="4"/>
  <c r="AJ9" i="4"/>
  <c r="AJ18" i="4"/>
  <c r="AJ13" i="4"/>
  <c r="AJ12" i="4"/>
  <c r="D26" i="4"/>
  <c r="G7" i="4"/>
  <c r="E26" i="4"/>
  <c r="AJ11" i="4"/>
  <c r="AJ10" i="4"/>
  <c r="AJ21" i="4"/>
  <c r="AJ20" i="4"/>
  <c r="AJ7" i="4"/>
  <c r="W8" i="4"/>
  <c r="K26" i="4"/>
  <c r="AJ15" i="4"/>
  <c r="W16" i="4"/>
  <c r="W7" i="4"/>
  <c r="AJ24" i="4"/>
  <c r="AJ23" i="4"/>
  <c r="J26" i="4"/>
  <c r="J42" i="12"/>
  <c r="J43" i="12" s="1"/>
  <c r="J44" i="12" s="1"/>
  <c r="H42" i="12"/>
  <c r="H43" i="12" s="1"/>
  <c r="H44" i="12" s="1"/>
  <c r="G42" i="12"/>
  <c r="G43" i="12" s="1"/>
  <c r="G44" i="12" s="1"/>
  <c r="F42" i="12"/>
  <c r="F43" i="12" s="1"/>
  <c r="F44" i="12" s="1"/>
  <c r="E42" i="12"/>
  <c r="E43" i="12" s="1"/>
  <c r="E44" i="12" s="1"/>
  <c r="W24" i="4"/>
  <c r="L24" i="5"/>
  <c r="I42" i="12"/>
  <c r="I43" i="12" s="1"/>
  <c r="I44" i="12" s="1"/>
  <c r="D43" i="12"/>
  <c r="D44" i="12" s="1"/>
  <c r="AJ14" i="4"/>
  <c r="W20" i="4"/>
  <c r="G24" i="5"/>
  <c r="AJ8" i="4"/>
  <c r="D11" i="10"/>
  <c r="C29" i="4" s="1"/>
  <c r="W13" i="4"/>
  <c r="W25" i="4"/>
  <c r="W10" i="4"/>
  <c r="C26" i="4"/>
  <c r="C5" i="2" s="1"/>
  <c r="C6" i="2" s="1"/>
  <c r="G18" i="4"/>
  <c r="H18" i="4" s="1"/>
  <c r="W9" i="4"/>
  <c r="K24" i="5"/>
  <c r="M19" i="4" l="1"/>
  <c r="U19" i="4" s="1"/>
  <c r="I19" i="4"/>
  <c r="N19" i="4" s="1"/>
  <c r="L15" i="4"/>
  <c r="T15" i="4" s="1"/>
  <c r="M14" i="4"/>
  <c r="U14" i="4" s="1"/>
  <c r="I10" i="4"/>
  <c r="S10" i="4" s="1"/>
  <c r="M10" i="4"/>
  <c r="U10" i="4" s="1"/>
  <c r="M11" i="4"/>
  <c r="U11" i="4" s="1"/>
  <c r="I11" i="4"/>
  <c r="S11" i="4" s="1"/>
  <c r="I14" i="4"/>
  <c r="R20" i="4"/>
  <c r="I13" i="4"/>
  <c r="S13" i="4" s="1"/>
  <c r="C33" i="5"/>
  <c r="D7" i="3"/>
  <c r="C12" i="3" s="1"/>
  <c r="M13" i="4"/>
  <c r="U13" i="4" s="1"/>
  <c r="L20" i="4"/>
  <c r="T20" i="4" s="1"/>
  <c r="L16" i="4"/>
  <c r="T16" i="4" s="1"/>
  <c r="M16" i="4"/>
  <c r="U16" i="4" s="1"/>
  <c r="X26" i="4"/>
  <c r="L8" i="4"/>
  <c r="T8" i="4" s="1"/>
  <c r="M20" i="4"/>
  <c r="M8" i="4"/>
  <c r="U8" i="4" s="1"/>
  <c r="U24" i="4"/>
  <c r="R21" i="4"/>
  <c r="V20" i="4"/>
  <c r="I12" i="4"/>
  <c r="S12" i="4" s="1"/>
  <c r="L12" i="4"/>
  <c r="T12" i="4" s="1"/>
  <c r="I25" i="4"/>
  <c r="R25" i="4"/>
  <c r="L24" i="4"/>
  <c r="T24" i="4" s="1"/>
  <c r="L25" i="4"/>
  <c r="T25" i="4" s="1"/>
  <c r="I24" i="4"/>
  <c r="S24" i="4" s="1"/>
  <c r="L23" i="4"/>
  <c r="M23" i="4"/>
  <c r="U23" i="4" s="1"/>
  <c r="I22" i="4"/>
  <c r="S22" i="4" s="1"/>
  <c r="L22" i="4"/>
  <c r="T22" i="4" s="1"/>
  <c r="I9" i="4"/>
  <c r="S9" i="4" s="1"/>
  <c r="I15" i="4"/>
  <c r="S15" i="4" s="1"/>
  <c r="M9" i="4"/>
  <c r="U9" i="4" s="1"/>
  <c r="I21" i="4"/>
  <c r="S21" i="4" s="1"/>
  <c r="M21" i="4"/>
  <c r="U21" i="4" s="1"/>
  <c r="I17" i="4"/>
  <c r="S17" i="4" s="1"/>
  <c r="M17" i="4"/>
  <c r="V13" i="4"/>
  <c r="R23" i="4"/>
  <c r="R11" i="4"/>
  <c r="R16" i="4"/>
  <c r="T14" i="4"/>
  <c r="V23" i="4"/>
  <c r="V19" i="4"/>
  <c r="V22" i="4"/>
  <c r="V18" i="4"/>
  <c r="V11" i="4"/>
  <c r="V14" i="4"/>
  <c r="V9" i="4"/>
  <c r="R13" i="4"/>
  <c r="V12" i="4"/>
  <c r="V7" i="4"/>
  <c r="V8" i="4"/>
  <c r="V21" i="4"/>
  <c r="T19" i="4"/>
  <c r="S20" i="4"/>
  <c r="V10" i="4"/>
  <c r="U22" i="4"/>
  <c r="R19" i="4"/>
  <c r="R17" i="4"/>
  <c r="G26" i="4"/>
  <c r="H7" i="4"/>
  <c r="R15" i="4"/>
  <c r="U25" i="4"/>
  <c r="R22" i="4"/>
  <c r="R14" i="4"/>
  <c r="T17" i="4"/>
  <c r="V17" i="4"/>
  <c r="R10" i="4"/>
  <c r="V25" i="4"/>
  <c r="T13" i="4"/>
  <c r="U12" i="4"/>
  <c r="R9" i="4"/>
  <c r="S23" i="4"/>
  <c r="T21" i="4"/>
  <c r="V24" i="4"/>
  <c r="T10" i="4"/>
  <c r="W26" i="4"/>
  <c r="U15" i="4"/>
  <c r="T11" i="4"/>
  <c r="S8" i="4"/>
  <c r="R24" i="4"/>
  <c r="T9" i="4"/>
  <c r="S16" i="4"/>
  <c r="R8" i="4"/>
  <c r="V16" i="4"/>
  <c r="L18" i="4"/>
  <c r="I18" i="4"/>
  <c r="R18" i="4"/>
  <c r="M18" i="4"/>
  <c r="V15" i="4"/>
  <c r="R12" i="4"/>
  <c r="N11" i="4" l="1"/>
  <c r="Y11" i="4" s="1"/>
  <c r="N17" i="4"/>
  <c r="O17" i="4" s="1"/>
  <c r="S19" i="4"/>
  <c r="N10" i="4"/>
  <c r="O10" i="4" s="1"/>
  <c r="N14" i="4"/>
  <c r="Y14" i="4" s="1"/>
  <c r="N13" i="4"/>
  <c r="O13" i="4" s="1"/>
  <c r="N20" i="4"/>
  <c r="Y20" i="4" s="1"/>
  <c r="N25" i="4"/>
  <c r="Y25" i="4" s="1"/>
  <c r="U20" i="4"/>
  <c r="S25" i="4"/>
  <c r="S14" i="4"/>
  <c r="N8" i="4"/>
  <c r="O8" i="4" s="1"/>
  <c r="N24" i="4"/>
  <c r="Y24" i="4" s="1"/>
  <c r="N23" i="4"/>
  <c r="Y23" i="4" s="1"/>
  <c r="N22" i="4"/>
  <c r="Y22" i="4" s="1"/>
  <c r="N16" i="4"/>
  <c r="U17" i="4"/>
  <c r="T23" i="4"/>
  <c r="N12" i="4"/>
  <c r="Y12" i="4" s="1"/>
  <c r="N15" i="4"/>
  <c r="O15" i="4" s="1"/>
  <c r="N9" i="4"/>
  <c r="Y9" i="4" s="1"/>
  <c r="N21" i="4"/>
  <c r="S18" i="4"/>
  <c r="T18" i="4"/>
  <c r="V26" i="4"/>
  <c r="O11" i="4"/>
  <c r="U18" i="4"/>
  <c r="O19" i="4"/>
  <c r="Y19" i="4"/>
  <c r="N18" i="4"/>
  <c r="H26" i="4"/>
  <c r="L7" i="4"/>
  <c r="M7" i="4"/>
  <c r="I7" i="4"/>
  <c r="R7" i="4"/>
  <c r="Y17" i="4" l="1"/>
  <c r="Y10" i="4"/>
  <c r="Y13" i="4"/>
  <c r="O14" i="4"/>
  <c r="O22" i="4"/>
  <c r="O12" i="4"/>
  <c r="O25" i="4"/>
  <c r="Y8" i="4"/>
  <c r="O20" i="4"/>
  <c r="Y15" i="4"/>
  <c r="O24" i="4"/>
  <c r="O23" i="4"/>
  <c r="O9" i="4"/>
  <c r="Y16" i="4"/>
  <c r="O16" i="4"/>
  <c r="Y21" i="4"/>
  <c r="O21" i="4"/>
  <c r="I26" i="4"/>
  <c r="S7" i="4"/>
  <c r="U7" i="4"/>
  <c r="M26" i="4"/>
  <c r="N7" i="4"/>
  <c r="L26" i="4"/>
  <c r="T7" i="4"/>
  <c r="O18" i="4"/>
  <c r="Y18" i="4"/>
  <c r="R26" i="4"/>
  <c r="N26" i="4" l="1"/>
  <c r="O7" i="4"/>
  <c r="O26" i="4" s="1"/>
  <c r="Y7" i="4"/>
  <c r="U26" i="4"/>
  <c r="T26" i="4"/>
  <c r="S26" i="4"/>
  <c r="Y26" i="4" l="1"/>
  <c r="AC5" i="4"/>
  <c r="C34" i="5"/>
  <c r="C35" i="5" s="1"/>
  <c r="Z17" i="4" l="1"/>
  <c r="AD17" i="4" s="1"/>
  <c r="Z21" i="4"/>
  <c r="AD21" i="4" s="1"/>
  <c r="AA17" i="4"/>
  <c r="AE17" i="4" s="1"/>
  <c r="AL17" i="4" s="1"/>
  <c r="Z9" i="4"/>
  <c r="AD9" i="4" s="1"/>
  <c r="Z8" i="4"/>
  <c r="AD8" i="4" s="1"/>
  <c r="Z10" i="4"/>
  <c r="AD10" i="4" s="1"/>
  <c r="Z23" i="4"/>
  <c r="AD23" i="4" s="1"/>
  <c r="Z20" i="4"/>
  <c r="AD20" i="4" s="1"/>
  <c r="AA21" i="4"/>
  <c r="AE21" i="4" s="1"/>
  <c r="AL21" i="4" s="1"/>
  <c r="Z12" i="4"/>
  <c r="AD12" i="4" s="1"/>
  <c r="AB13" i="4"/>
  <c r="AF13" i="4" s="1"/>
  <c r="AM13" i="4" s="1"/>
  <c r="AC17" i="4"/>
  <c r="AG17" i="4" s="1"/>
  <c r="AN17" i="4" s="1"/>
  <c r="AC25" i="4"/>
  <c r="AG25" i="4" s="1"/>
  <c r="AN25" i="4" s="1"/>
  <c r="Z15" i="4"/>
  <c r="AD15" i="4" s="1"/>
  <c r="Z24" i="4"/>
  <c r="AD24" i="4" s="1"/>
  <c r="Z25" i="4"/>
  <c r="AD25" i="4" s="1"/>
  <c r="Z14" i="4"/>
  <c r="AD14" i="4" s="1"/>
  <c r="Z13" i="4"/>
  <c r="AD13" i="4" s="1"/>
  <c r="AC21" i="4"/>
  <c r="AG21" i="4" s="1"/>
  <c r="AN21" i="4" s="1"/>
  <c r="Z22" i="4"/>
  <c r="AD22" i="4" s="1"/>
  <c r="Z16" i="4"/>
  <c r="AD16" i="4" s="1"/>
  <c r="Z19" i="4"/>
  <c r="AD19" i="4" s="1"/>
  <c r="Z11" i="4"/>
  <c r="AD11" i="4" s="1"/>
  <c r="AB20" i="4"/>
  <c r="AF20" i="4" s="1"/>
  <c r="AM20" i="4" s="1"/>
  <c r="AC15" i="4"/>
  <c r="AG15" i="4" s="1"/>
  <c r="AN15" i="4" s="1"/>
  <c r="AB9" i="4"/>
  <c r="AF9" i="4" s="1"/>
  <c r="AM9" i="4" s="1"/>
  <c r="AB10" i="4"/>
  <c r="AF10" i="4" s="1"/>
  <c r="AM10" i="4" s="1"/>
  <c r="AC23" i="4"/>
  <c r="AG23" i="4" s="1"/>
  <c r="AN23" i="4" s="1"/>
  <c r="AA12" i="4"/>
  <c r="AE12" i="4" s="1"/>
  <c r="AL12" i="4" s="1"/>
  <c r="AB21" i="4"/>
  <c r="AF21" i="4" s="1"/>
  <c r="AM21" i="4" s="1"/>
  <c r="AA20" i="4"/>
  <c r="AE20" i="4" s="1"/>
  <c r="AL20" i="4" s="1"/>
  <c r="AC20" i="4"/>
  <c r="AG20" i="4" s="1"/>
  <c r="AN20" i="4" s="1"/>
  <c r="AC24" i="4"/>
  <c r="AG24" i="4" s="1"/>
  <c r="AN24" i="4" s="1"/>
  <c r="AB16" i="4"/>
  <c r="AF16" i="4" s="1"/>
  <c r="AM16" i="4" s="1"/>
  <c r="AB12" i="4"/>
  <c r="AF12" i="4" s="1"/>
  <c r="AM12" i="4" s="1"/>
  <c r="AC14" i="4"/>
  <c r="AG14" i="4" s="1"/>
  <c r="AN14" i="4" s="1"/>
  <c r="AA11" i="4"/>
  <c r="AE11" i="4" s="1"/>
  <c r="AL11" i="4" s="1"/>
  <c r="AA25" i="4"/>
  <c r="AE25" i="4" s="1"/>
  <c r="AL25" i="4" s="1"/>
  <c r="AC22" i="4"/>
  <c r="AG22" i="4" s="1"/>
  <c r="AN22" i="4" s="1"/>
  <c r="Z18" i="4"/>
  <c r="AD18" i="4" s="1"/>
  <c r="AA22" i="4"/>
  <c r="AE22" i="4" s="1"/>
  <c r="AL22" i="4" s="1"/>
  <c r="AC13" i="4"/>
  <c r="AG13" i="4" s="1"/>
  <c r="AN13" i="4" s="1"/>
  <c r="AA10" i="4"/>
  <c r="AE10" i="4" s="1"/>
  <c r="AL10" i="4" s="1"/>
  <c r="AB14" i="4"/>
  <c r="AF14" i="4" s="1"/>
  <c r="AM14" i="4" s="1"/>
  <c r="AB22" i="4"/>
  <c r="AF22" i="4" s="1"/>
  <c r="AM22" i="4" s="1"/>
  <c r="AA16" i="4"/>
  <c r="AE16" i="4" s="1"/>
  <c r="AL16" i="4" s="1"/>
  <c r="AA24" i="4"/>
  <c r="AE24" i="4" s="1"/>
  <c r="AL24" i="4" s="1"/>
  <c r="AA8" i="4"/>
  <c r="AE8" i="4" s="1"/>
  <c r="AL8" i="4" s="1"/>
  <c r="AA15" i="4"/>
  <c r="AE15" i="4" s="1"/>
  <c r="AL15" i="4" s="1"/>
  <c r="AC19" i="4"/>
  <c r="AG19" i="4" s="1"/>
  <c r="AN19" i="4" s="1"/>
  <c r="AC12" i="4"/>
  <c r="AG12" i="4" s="1"/>
  <c r="AN12" i="4" s="1"/>
  <c r="AB25" i="4"/>
  <c r="AF25" i="4" s="1"/>
  <c r="AM25" i="4" s="1"/>
  <c r="AB11" i="4"/>
  <c r="AF11" i="4" s="1"/>
  <c r="AM11" i="4" s="1"/>
  <c r="AC10" i="4"/>
  <c r="AG10" i="4" s="1"/>
  <c r="AN10" i="4" s="1"/>
  <c r="AC11" i="4"/>
  <c r="AG11" i="4" s="1"/>
  <c r="AN11" i="4" s="1"/>
  <c r="AB8" i="4"/>
  <c r="AF8" i="4" s="1"/>
  <c r="AM8" i="4" s="1"/>
  <c r="AA19" i="4"/>
  <c r="AE19" i="4" s="1"/>
  <c r="AL19" i="4" s="1"/>
  <c r="AA13" i="4"/>
  <c r="AE13" i="4" s="1"/>
  <c r="AL13" i="4" s="1"/>
  <c r="AC9" i="4"/>
  <c r="AG9" i="4" s="1"/>
  <c r="AN9" i="4" s="1"/>
  <c r="AB15" i="4"/>
  <c r="AF15" i="4" s="1"/>
  <c r="AM15" i="4" s="1"/>
  <c r="AA14" i="4"/>
  <c r="AE14" i="4" s="1"/>
  <c r="AL14" i="4" s="1"/>
  <c r="AA9" i="4"/>
  <c r="AE9" i="4" s="1"/>
  <c r="AL9" i="4" s="1"/>
  <c r="AB24" i="4"/>
  <c r="AF24" i="4" s="1"/>
  <c r="AM24" i="4" s="1"/>
  <c r="AC16" i="4"/>
  <c r="AG16" i="4" s="1"/>
  <c r="AN16" i="4" s="1"/>
  <c r="AB17" i="4"/>
  <c r="AF17" i="4" s="1"/>
  <c r="AM17" i="4" s="1"/>
  <c r="AA23" i="4"/>
  <c r="AE23" i="4" s="1"/>
  <c r="AL23" i="4" s="1"/>
  <c r="AB23" i="4"/>
  <c r="AF23" i="4" s="1"/>
  <c r="AM23" i="4" s="1"/>
  <c r="AC8" i="4"/>
  <c r="AG8" i="4" s="1"/>
  <c r="AN8" i="4" s="1"/>
  <c r="AB19" i="4"/>
  <c r="AF19" i="4" s="1"/>
  <c r="AM19" i="4" s="1"/>
  <c r="AB18" i="4"/>
  <c r="AF18" i="4" s="1"/>
  <c r="AM18" i="4" s="1"/>
  <c r="Z7" i="4"/>
  <c r="AC18" i="4"/>
  <c r="AG18" i="4" s="1"/>
  <c r="AN18" i="4" s="1"/>
  <c r="AA18" i="4"/>
  <c r="AE18" i="4" s="1"/>
  <c r="AL18" i="4" s="1"/>
  <c r="AB7" i="4"/>
  <c r="AC7" i="4"/>
  <c r="AA7" i="4"/>
  <c r="AK22" i="4" l="1"/>
  <c r="AK14" i="4"/>
  <c r="AK23" i="4"/>
  <c r="AK25" i="4"/>
  <c r="AK10" i="4"/>
  <c r="AK20" i="4"/>
  <c r="AB26" i="4"/>
  <c r="AF7" i="4"/>
  <c r="AK9" i="4"/>
  <c r="AK24" i="4"/>
  <c r="AK15" i="4"/>
  <c r="AK11" i="4"/>
  <c r="AA26" i="4"/>
  <c r="AE7" i="4"/>
  <c r="Z26" i="4"/>
  <c r="AD7" i="4"/>
  <c r="AK18" i="4"/>
  <c r="AK19" i="4"/>
  <c r="AK21" i="4"/>
  <c r="AK12" i="4"/>
  <c r="AK13" i="4"/>
  <c r="AC26" i="4"/>
  <c r="AG7" i="4"/>
  <c r="AK8" i="4"/>
  <c r="AK16" i="4"/>
  <c r="AK17" i="4"/>
  <c r="AO10" i="4" l="1"/>
  <c r="AP10" i="4" s="1"/>
  <c r="AO24" i="4"/>
  <c r="AP24" i="4" s="1"/>
  <c r="AG26" i="4"/>
  <c r="AN7" i="4"/>
  <c r="AN26" i="4" s="1"/>
  <c r="AW7" i="4" s="1"/>
  <c r="AW8" i="4" s="1"/>
  <c r="AD26" i="4"/>
  <c r="AK7" i="4"/>
  <c r="AO9" i="4"/>
  <c r="AP9" i="4" s="1"/>
  <c r="AO25" i="4"/>
  <c r="AP25" i="4" s="1"/>
  <c r="AO23" i="4"/>
  <c r="AP23" i="4" s="1"/>
  <c r="AE26" i="4"/>
  <c r="AL7" i="4"/>
  <c r="AL26" i="4" s="1"/>
  <c r="AU7" i="4" s="1"/>
  <c r="AU8" i="4" s="1"/>
  <c r="AO19" i="4"/>
  <c r="AP19" i="4" s="1"/>
  <c r="AO15" i="4"/>
  <c r="AP15" i="4" s="1"/>
  <c r="AO13" i="4"/>
  <c r="AP13" i="4" s="1"/>
  <c r="AO17" i="4"/>
  <c r="AP17" i="4" s="1"/>
  <c r="AO12" i="4"/>
  <c r="AP12" i="4" s="1"/>
  <c r="AM7" i="4"/>
  <c r="AM26" i="4" s="1"/>
  <c r="AV7" i="4" s="1"/>
  <c r="AV8" i="4" s="1"/>
  <c r="AF26" i="4"/>
  <c r="AO14" i="4"/>
  <c r="AP14" i="4" s="1"/>
  <c r="AO11" i="4"/>
  <c r="AP11" i="4" s="1"/>
  <c r="AO22" i="4"/>
  <c r="AP22" i="4" s="1"/>
  <c r="AO8" i="4"/>
  <c r="AP8" i="4" s="1"/>
  <c r="AO20" i="4"/>
  <c r="AP20" i="4" s="1"/>
  <c r="AO18" i="4"/>
  <c r="AP18" i="4" s="1"/>
  <c r="AO16" i="4"/>
  <c r="AP16" i="4" s="1"/>
  <c r="AO21" i="4"/>
  <c r="AP21" i="4" s="1"/>
  <c r="C16" i="2" l="1"/>
  <c r="AQ13" i="4"/>
  <c r="C19" i="2"/>
  <c r="AQ16" i="4"/>
  <c r="AQ15" i="4"/>
  <c r="C18" i="2"/>
  <c r="AQ18" i="4"/>
  <c r="C21" i="2"/>
  <c r="AQ14" i="4"/>
  <c r="C17" i="2"/>
  <c r="AQ19" i="4"/>
  <c r="C22" i="2"/>
  <c r="C13" i="2"/>
  <c r="AQ10" i="4"/>
  <c r="AQ21" i="4"/>
  <c r="C24" i="2"/>
  <c r="AQ17" i="4"/>
  <c r="C20" i="2"/>
  <c r="AQ11" i="4"/>
  <c r="C14" i="2"/>
  <c r="AQ20" i="4"/>
  <c r="C23" i="2"/>
  <c r="AQ9" i="4"/>
  <c r="C12" i="2"/>
  <c r="C11" i="2"/>
  <c r="AQ8" i="4"/>
  <c r="AQ12" i="4"/>
  <c r="C15" i="2"/>
  <c r="AQ24" i="4"/>
  <c r="C27" i="2"/>
  <c r="AQ25" i="4"/>
  <c r="C28" i="2"/>
  <c r="AK26" i="4"/>
  <c r="AT7" i="4" s="1"/>
  <c r="AT8" i="4" s="1"/>
  <c r="AT10" i="4" s="1"/>
  <c r="AO7" i="4"/>
  <c r="AP7" i="4" s="1"/>
  <c r="AQ23" i="4"/>
  <c r="C26" i="2"/>
  <c r="AQ22" i="4"/>
  <c r="C25" i="2"/>
  <c r="AO26" i="4" l="1"/>
  <c r="C10" i="2"/>
  <c r="AP26" i="4"/>
  <c r="AT12" i="4" s="1"/>
  <c r="AT14" i="4" s="1"/>
  <c r="F23" i="2"/>
  <c r="D23" i="2"/>
  <c r="E23" i="2" s="1"/>
  <c r="F12" i="2"/>
  <c r="D12" i="2"/>
  <c r="E12" i="2" s="1"/>
  <c r="F13" i="2"/>
  <c r="D13" i="2"/>
  <c r="E13" i="2" s="1"/>
  <c r="F24" i="2"/>
  <c r="D24" i="2"/>
  <c r="E24" i="2" s="1"/>
  <c r="AT11" i="4"/>
  <c r="D5" i="2"/>
  <c r="F17" i="2"/>
  <c r="D17" i="2"/>
  <c r="E17" i="2" s="1"/>
  <c r="F28" i="2"/>
  <c r="D28" i="2"/>
  <c r="E28" i="2" s="1"/>
  <c r="F11" i="2"/>
  <c r="D11" i="2"/>
  <c r="E11" i="2" s="1"/>
  <c r="F19" i="2"/>
  <c r="D19" i="2"/>
  <c r="E19" i="2" s="1"/>
  <c r="D25" i="2"/>
  <c r="E25" i="2" s="1"/>
  <c r="F25" i="2"/>
  <c r="D21" i="2"/>
  <c r="E21" i="2" s="1"/>
  <c r="F21" i="2"/>
  <c r="F18" i="2"/>
  <c r="D18" i="2"/>
  <c r="E18" i="2" s="1"/>
  <c r="D20" i="2"/>
  <c r="E20" i="2" s="1"/>
  <c r="F20" i="2"/>
  <c r="F22" i="2"/>
  <c r="D22" i="2"/>
  <c r="E22" i="2" s="1"/>
  <c r="F15" i="2"/>
  <c r="D15" i="2"/>
  <c r="E15" i="2" s="1"/>
  <c r="D14" i="2"/>
  <c r="E14" i="2" s="1"/>
  <c r="F14" i="2"/>
  <c r="F26" i="2"/>
  <c r="D26" i="2"/>
  <c r="E26" i="2" s="1"/>
  <c r="F27" i="2"/>
  <c r="D27" i="2"/>
  <c r="E27" i="2" s="1"/>
  <c r="D16" i="2"/>
  <c r="E16" i="2" s="1"/>
  <c r="F16" i="2"/>
  <c r="G15" i="2" l="1"/>
  <c r="H15" i="2" s="1"/>
  <c r="E5" i="2"/>
  <c r="E6" i="2" s="1"/>
  <c r="I12" i="2" s="1"/>
  <c r="D6" i="2"/>
  <c r="G23" i="2"/>
  <c r="H23" i="2" s="1"/>
  <c r="G16" i="2"/>
  <c r="H16" i="2" s="1"/>
  <c r="G27" i="2"/>
  <c r="H27" i="2" s="1"/>
  <c r="F5" i="2"/>
  <c r="AT13" i="4"/>
  <c r="AT15" i="4" s="1"/>
  <c r="G20" i="2"/>
  <c r="H20" i="2" s="1"/>
  <c r="G11" i="2"/>
  <c r="H11" i="2" s="1"/>
  <c r="C29" i="2"/>
  <c r="D10" i="2"/>
  <c r="D29" i="2" s="1"/>
  <c r="F10" i="2"/>
  <c r="G12" i="2"/>
  <c r="H12" i="2" s="1"/>
  <c r="AQ7" i="4"/>
  <c r="AQ26" i="4" s="1"/>
  <c r="G17" i="2"/>
  <c r="H17" i="2" s="1"/>
  <c r="G18" i="2"/>
  <c r="H18" i="2" s="1"/>
  <c r="G26" i="2"/>
  <c r="H26" i="2" s="1"/>
  <c r="G25" i="2"/>
  <c r="H25" i="2" s="1"/>
  <c r="G22" i="2"/>
  <c r="H22" i="2" s="1"/>
  <c r="G14" i="2"/>
  <c r="H14" i="2" s="1"/>
  <c r="G28" i="2"/>
  <c r="H28" i="2" s="1"/>
  <c r="G24" i="2"/>
  <c r="H24" i="2" s="1"/>
  <c r="G13" i="2"/>
  <c r="H13" i="2" s="1"/>
  <c r="G19" i="2"/>
  <c r="H19" i="2" s="1"/>
  <c r="G21" i="2"/>
  <c r="H21" i="2" s="1"/>
  <c r="E10" i="2" l="1"/>
  <c r="E29" i="2" s="1"/>
  <c r="I26" i="2"/>
  <c r="I15" i="2"/>
  <c r="G5" i="2"/>
  <c r="G6" i="2" s="1"/>
  <c r="F6" i="2"/>
  <c r="I22" i="2"/>
  <c r="I16" i="2"/>
  <c r="I14" i="2"/>
  <c r="I11" i="2"/>
  <c r="I24" i="2"/>
  <c r="I25" i="2"/>
  <c r="I13" i="2"/>
  <c r="I28" i="2"/>
  <c r="I23" i="2"/>
  <c r="H5" i="2"/>
  <c r="I19" i="2"/>
  <c r="I27" i="2"/>
  <c r="I17" i="2"/>
  <c r="I20" i="2"/>
  <c r="I21" i="2"/>
  <c r="F29" i="2"/>
  <c r="G10" i="2"/>
  <c r="G29" i="2" s="1"/>
  <c r="I10" i="2"/>
  <c r="I18" i="2"/>
  <c r="H10" i="2" l="1"/>
  <c r="H29" i="2" s="1"/>
  <c r="I29" i="2"/>
  <c r="H6" i="2"/>
  <c r="F11" i="1" s="1"/>
  <c r="G11" i="1" s="1"/>
  <c r="I5" i="2"/>
  <c r="I6" i="2" s="1"/>
</calcChain>
</file>

<file path=xl/sharedStrings.xml><?xml version="1.0" encoding="utf-8"?>
<sst xmlns="http://schemas.openxmlformats.org/spreadsheetml/2006/main" count="624" uniqueCount="300">
  <si>
    <t>PLANILHA DETALHADA DE FORMAÇÃO DE PREÇO</t>
  </si>
  <si>
    <t>POLO IX</t>
  </si>
  <si>
    <t>DESONERADA</t>
  </si>
  <si>
    <t>ITEM</t>
  </si>
  <si>
    <t>DESCRIÇÃO DO SERVIÇO</t>
  </si>
  <si>
    <t>UN.</t>
  </si>
  <si>
    <t>QTE.</t>
  </si>
  <si>
    <t>PREÇO UNITÁRIO (R$)</t>
  </si>
  <si>
    <t>PREÇO TOTAL 24 MESES (R$)</t>
  </si>
  <si>
    <t>Serviço de manutenção predial preventiva e corretiva por demanda, com fornecimento de materiais, peças e componentes, nos imóveis relacionados no Polo Regional IX.</t>
  </si>
  <si>
    <t>Mês</t>
  </si>
  <si>
    <t>BASE</t>
  </si>
  <si>
    <t>ÁREA TOTAL (m²)</t>
  </si>
  <si>
    <t>CUSTO MÉDIO MENSAL (PREVENTIVA)</t>
  </si>
  <si>
    <t>CUSTO ANUAL (PREVENTIVA)</t>
  </si>
  <si>
    <t>CUSTO MÉDIO MENSAL (CORRETIVA)</t>
  </si>
  <si>
    <t>CUSTO ANUAL (CORRETIVA)</t>
  </si>
  <si>
    <t>CUSTO MÉDIO MENSAL MANUTENÇÃO</t>
  </si>
  <si>
    <t>CUSTO ANUAL MANUTENÇÃO</t>
  </si>
  <si>
    <t>PASSO FUNDO</t>
  </si>
  <si>
    <t>Custo Médio Mensal</t>
  </si>
  <si>
    <t>Custo Anual</t>
  </si>
  <si>
    <t>Percentual por unidade</t>
  </si>
  <si>
    <t>Preventiva</t>
  </si>
  <si>
    <t>Corretiva</t>
  </si>
  <si>
    <t>Total</t>
  </si>
  <si>
    <t>%</t>
  </si>
  <si>
    <t>Valores SINAPI*</t>
  </si>
  <si>
    <t>Engenheiro Civil (ref. SINAPI/90778)</t>
  </si>
  <si>
    <t>Engenheiro eletricista (comp. própria)</t>
  </si>
  <si>
    <t>Auxiliar Técnico (ref. SINAPI/88255)</t>
  </si>
  <si>
    <t>Quantidade de horas/mês</t>
  </si>
  <si>
    <t>Custo mensal</t>
  </si>
  <si>
    <t>Custo anual</t>
  </si>
  <si>
    <t>CUSTO POR PERÍODO (Sem BDI)</t>
  </si>
  <si>
    <t>Custo mensal da equipe</t>
  </si>
  <si>
    <t>Custo anual da equipe</t>
  </si>
  <si>
    <t>UNIDADE</t>
  </si>
  <si>
    <t>Área (m²)</t>
  </si>
  <si>
    <t>Horas</t>
  </si>
  <si>
    <t>GEX / APS</t>
  </si>
  <si>
    <t>Custo da equipe em execução por rotina</t>
  </si>
  <si>
    <t>Custos mensais</t>
  </si>
  <si>
    <t>Custo Equipe técnica</t>
  </si>
  <si>
    <t>Custo total por rotina (SEM BDI)</t>
  </si>
  <si>
    <t>Custo total por rotina (COM BDI)</t>
  </si>
  <si>
    <t>Custo Mensal de Manutenção por unidade</t>
  </si>
  <si>
    <t>Uso constante</t>
  </si>
  <si>
    <t>Uso esporádico</t>
  </si>
  <si>
    <t>Ociosa</t>
  </si>
  <si>
    <t>Área corrigida</t>
  </si>
  <si>
    <t>horas p visita mensal (h)</t>
  </si>
  <si>
    <t>horas p visita trimestral (h)</t>
  </si>
  <si>
    <t>Possui hidrante?</t>
  </si>
  <si>
    <t>Possui subestação?</t>
  </si>
  <si>
    <t>horas p visita semestral(h)</t>
  </si>
  <si>
    <t>horas p visita anual(h)</t>
  </si>
  <si>
    <t>Total horas p/ ano</t>
  </si>
  <si>
    <t>Mensal</t>
  </si>
  <si>
    <t>Trimestral</t>
  </si>
  <si>
    <t>Semestral</t>
  </si>
  <si>
    <t>Anual</t>
  </si>
  <si>
    <t>Equipe em desl.</t>
  </si>
  <si>
    <t>Pernoite</t>
  </si>
  <si>
    <t>Pedágio</t>
  </si>
  <si>
    <t>Veículo</t>
  </si>
  <si>
    <t>Total de horas de execução do Polo:</t>
  </si>
  <si>
    <t>BDI</t>
  </si>
  <si>
    <t>Custo Médio Mensal Preventiva</t>
  </si>
  <si>
    <t>Custo Médio Mensal Corretiva</t>
  </si>
  <si>
    <t>Custo Médio Mensal Manutenção</t>
  </si>
  <si>
    <t>Custos / Rotinas</t>
  </si>
  <si>
    <t>coeficiente</t>
  </si>
  <si>
    <t>12 rotinas</t>
  </si>
  <si>
    <t>4 rotinas</t>
  </si>
  <si>
    <t>2 rotinas</t>
  </si>
  <si>
    <t>1 rotina</t>
  </si>
  <si>
    <t>APS Nova Prata</t>
  </si>
  <si>
    <t>Custo por tipo de rotina</t>
  </si>
  <si>
    <t>APS Vacaria</t>
  </si>
  <si>
    <t>Custo Anual por tipo de rotina</t>
  </si>
  <si>
    <t>APS Veranópolis</t>
  </si>
  <si>
    <t>APS Carazinho</t>
  </si>
  <si>
    <t>APS Casca</t>
  </si>
  <si>
    <t>Custo Anual Preventiva</t>
  </si>
  <si>
    <t>APS Erechim</t>
  </si>
  <si>
    <t>APS Espumoso</t>
  </si>
  <si>
    <t>Custo Anual Corretiva</t>
  </si>
  <si>
    <t>APS Getúlio Vargas</t>
  </si>
  <si>
    <t>APS Guaporé</t>
  </si>
  <si>
    <t>Custo Anual Manutenção</t>
  </si>
  <si>
    <t>APS Lagoa Vermelha</t>
  </si>
  <si>
    <t>APS Marau</t>
  </si>
  <si>
    <t>APS Sarandi</t>
  </si>
  <si>
    <t>APS Serafina Corrêa</t>
  </si>
  <si>
    <t>APS Soledade</t>
  </si>
  <si>
    <t>GEX/APS Passo Fundo</t>
  </si>
  <si>
    <t>APS Candelária</t>
  </si>
  <si>
    <t>APS Santa Cruz do Sul</t>
  </si>
  <si>
    <t>APS Sobradinho</t>
  </si>
  <si>
    <t>APS Venâncio Aires</t>
  </si>
  <si>
    <t>TOTAL</t>
  </si>
  <si>
    <t>Oficial de Manutenção Predial</t>
  </si>
  <si>
    <t>Ajudante (ref. SINAPI/88241)</t>
  </si>
  <si>
    <t>Eletrotécnico (ref. SINAPI/88266)</t>
  </si>
  <si>
    <t>Rotas</t>
  </si>
  <si>
    <t>Trecho 1 (Km)</t>
  </si>
  <si>
    <t>Trecho 2 (Km)</t>
  </si>
  <si>
    <t>Trecho 3 (Km)</t>
  </si>
  <si>
    <t>Total (Km)</t>
  </si>
  <si>
    <t>Trecho 1 (min)</t>
  </si>
  <si>
    <t>Trecho 2 (min)</t>
  </si>
  <si>
    <t>Trecho 3 (min)</t>
  </si>
  <si>
    <t>Total (min)</t>
  </si>
  <si>
    <t>Total (horas)</t>
  </si>
  <si>
    <t>Pedágio (ida e volta) *</t>
  </si>
  <si>
    <t>Unidades na rota</t>
  </si>
  <si>
    <t>Média horas p/ unidade</t>
  </si>
  <si>
    <t>Média pedágio p/ unidade</t>
  </si>
  <si>
    <t>Subestação?</t>
  </si>
  <si>
    <t>inclui eletrotécnico no deslocamento ?</t>
  </si>
  <si>
    <t>Custo do Veículo</t>
  </si>
  <si>
    <t>Composição*</t>
  </si>
  <si>
    <t>Descrição</t>
  </si>
  <si>
    <t>Unidade</t>
  </si>
  <si>
    <t>Valor</t>
  </si>
  <si>
    <t>92145/SINAPI</t>
  </si>
  <si>
    <t>CAMINHONETE CABINE SIMPLES</t>
  </si>
  <si>
    <t>CHP</t>
  </si>
  <si>
    <t>92146/SINAPI</t>
  </si>
  <si>
    <t>CHI</t>
  </si>
  <si>
    <t>* Nas composições utilizadas foram retirados os custos com motorista, pelo fato da própria equipe conduzir o veículo. A composição detalhada encontra-se em planilha apartada.</t>
  </si>
  <si>
    <t>Custo Mensal do Veículo</t>
  </si>
  <si>
    <t>Pedágios</t>
  </si>
  <si>
    <t>Insumo*</t>
  </si>
  <si>
    <t>2454/AGETOP</t>
  </si>
  <si>
    <t>PERNOITE EM QUARTO SOLTEIRO C/ AR CONDICIONADO OU VENTILADOR</t>
  </si>
  <si>
    <t>UN</t>
  </si>
  <si>
    <t>* Tabela AGETOP CIVIL Fevereiro/2025.</t>
  </si>
  <si>
    <t>COMPOSIÇÃO CUSTO DO VEÍCULO</t>
  </si>
  <si>
    <t>Composição ALTERADA SINAPI – 92145 (SEM MOTORISTA)</t>
  </si>
  <si>
    <t>Código</t>
  </si>
  <si>
    <t>92145</t>
  </si>
  <si>
    <t>CAMINHONETE CABINE SIMPLES COM MOTOR 1.6 FLEX, CÂMBIO MANUAL, POTÊNCIA 101/104 CV, 2 PORTAS - CHP DIURNO. AF_11/2015</t>
  </si>
  <si>
    <t>Data</t>
  </si>
  <si>
    <t>Estado</t>
  </si>
  <si>
    <t>RIO GRANDE DO SUL</t>
  </si>
  <si>
    <t>Tipo</t>
  </si>
  <si>
    <t>codigo</t>
  </si>
  <si>
    <t>Coeficiente</t>
  </si>
  <si>
    <t>C</t>
  </si>
  <si>
    <t>92140</t>
  </si>
  <si>
    <t>CAMINHONETE CABINE SIMPLES COM MOTOR 1.6 FLEX, CÂMBIO MANUAL, POTÊNCIA 101/104 CV, 2 PORTAS - DEPRECIAÇÃO. AF_11/2015</t>
  </si>
  <si>
    <t>H</t>
  </si>
  <si>
    <t>92141</t>
  </si>
  <si>
    <t>CAMINHONETE CABINE SIMPLES COM MOTOR 1.6 FLEX, CÂMBIO MANUAL, POTÊNCIA 101/104 CV, 2 PORTAS - JUROS. AF_11/2015</t>
  </si>
  <si>
    <t>92142</t>
  </si>
  <si>
    <t>CAMINHONETE CABINE SIMPLES COM MOTOR 1.6 FLEX, CÂMBIO MANUAL, POTÊNCIA 101/104 CV, 2 PORTAS - IMPOSTOS E SEGUROS. AF_11/2015</t>
  </si>
  <si>
    <t>92143</t>
  </si>
  <si>
    <t>CAMINHONETE CABINE SIMPLES COM MOTOR 1.6 FLEX, CÂMBIO MANUAL, POTÊNCIA 101/104 CV, 2 PORTAS - MANUTENÇÃO. AF_11/2015</t>
  </si>
  <si>
    <t>92144</t>
  </si>
  <si>
    <t>CAMINHONETE CABINE SIMPLES COM MOTOR 1.6 FLEX, CÂMBIO MANUAL, POTÊNCIA 101/104 CV, 2 PORTAS - MATERIAIS NA OPERAÇÃO. AF_11/2015</t>
  </si>
  <si>
    <t>Composição ALTERADA SINAPI – 92146 (SEM MOTORISTA)</t>
  </si>
  <si>
    <t>92146</t>
  </si>
  <si>
    <t>CAMINHONETE CABINE SIMPLES COM MOTOR 1.6 FLEX, CÂMBIO MANUAL, POTÊNCIA 101/104 CV, 2 PORTAS - CHI DIURNO. AF_11/2015</t>
  </si>
  <si>
    <t>Profissional</t>
  </si>
  <si>
    <t>ENGENHEIRO ELETRICISTA</t>
  </si>
  <si>
    <t>Referência</t>
  </si>
  <si>
    <t>99275 / insumo SBC</t>
  </si>
  <si>
    <t>Data base</t>
  </si>
  <si>
    <t>Custo do insumo (h)</t>
  </si>
  <si>
    <t>Encargos Sociais (*) - (ES)</t>
  </si>
  <si>
    <t>Apêndice 21: Encargos Sociais – Rio Grande do Sul</t>
  </si>
  <si>
    <t>Horista Desonerado</t>
  </si>
  <si>
    <t>Horista Não Desonerado</t>
  </si>
  <si>
    <t>Cálculo custo do funcionário</t>
  </si>
  <si>
    <r>
      <rPr>
        <sz val="10"/>
        <rFont val="Arial"/>
        <family val="2"/>
        <charset val="1"/>
      </rPr>
      <t>Horista Desonerado - H</t>
    </r>
    <r>
      <rPr>
        <vertAlign val="subscript"/>
        <sz val="10"/>
        <rFont val="Arial"/>
        <family val="2"/>
        <charset val="1"/>
      </rPr>
      <t>desonerado</t>
    </r>
  </si>
  <si>
    <r>
      <rPr>
        <sz val="10"/>
        <rFont val="Arial"/>
        <family val="2"/>
        <charset val="1"/>
      </rPr>
      <t>Horista Não Desonerado - H</t>
    </r>
    <r>
      <rPr>
        <vertAlign val="subscript"/>
        <sz val="10"/>
        <rFont val="Arial"/>
        <family val="2"/>
        <charset val="1"/>
      </rPr>
      <t>não_desonerado</t>
    </r>
  </si>
  <si>
    <t>COMPOSIÇÃO CUSTO ENGENHEIRO ELETRICISTA</t>
  </si>
  <si>
    <t>Composição ALTERADA SINAPI – 91677</t>
  </si>
  <si>
    <t>ENGENHEIRO ELETRICISTA COM ENCARGOS COMPLEMENTARES</t>
  </si>
  <si>
    <t>SEDI - SERVIÇOS DIVERSOS</t>
  </si>
  <si>
    <t>I</t>
  </si>
  <si>
    <t>99275/SBC</t>
  </si>
  <si>
    <t>Mão de Obra</t>
  </si>
  <si>
    <t xml:space="preserve"> 00037372 </t>
  </si>
  <si>
    <t>EXAMES - HORISTA (COLETADO CAIXA - ENCARGOS COMPLEMENTARES)</t>
  </si>
  <si>
    <t xml:space="preserve"> 00037373 </t>
  </si>
  <si>
    <t>SEGURO - HORISTA (COLETADO CAIXA - ENCARGOS COMPLEMENTARES)</t>
  </si>
  <si>
    <t xml:space="preserve"> 00043462 </t>
  </si>
  <si>
    <t>FERRAMENTAS - FAMILIA ENGENHEIRO CIVIL - HORISTA (ENCARGOS COMPLEMENTARES - COLETADO CAIXA)</t>
  </si>
  <si>
    <t xml:space="preserve"> 00043486 </t>
  </si>
  <si>
    <t>EPI - FAMILIA ENGENHEIRO CIVIL - HORISTA (ENCARGOS COMPLEMENTARES - COLETADO CAIXA)</t>
  </si>
  <si>
    <t>Categoria</t>
  </si>
  <si>
    <t>Oficial (*)</t>
  </si>
  <si>
    <t>Convenção coletiva</t>
  </si>
  <si>
    <r>
      <t>CCT</t>
    </r>
    <r>
      <rPr>
        <sz val="12"/>
        <rFont val="Arial"/>
        <family val="2"/>
        <charset val="1"/>
      </rPr>
      <t xml:space="preserve"> </t>
    </r>
    <r>
      <rPr>
        <sz val="10"/>
        <rFont val="Arial;Arial"/>
        <family val="2"/>
        <charset val="1"/>
      </rPr>
      <t xml:space="preserve"> RS002811/2024</t>
    </r>
  </si>
  <si>
    <t>01 de junho</t>
  </si>
  <si>
    <t>Abrangência</t>
  </si>
  <si>
    <t>Trabalhadores nas indústrias da construção civil de Porto Alegre/RS e região.</t>
  </si>
  <si>
    <t>Salário base (SB)</t>
  </si>
  <si>
    <t>Encargos Sociais (**) - (ES)
Apêndice 21: Encargos Sociais – Rio Grande do Sul</t>
  </si>
  <si>
    <t>Mensalista Desonerado</t>
  </si>
  <si>
    <t>Mensalista Não Desonerado</t>
  </si>
  <si>
    <t>Cálculo custo do funcionário (***)</t>
  </si>
  <si>
    <r>
      <rPr>
        <sz val="10"/>
        <rFont val="Arial"/>
        <family val="2"/>
        <charset val="1"/>
      </rPr>
      <t>Mensalista Desonerado (M</t>
    </r>
    <r>
      <rPr>
        <vertAlign val="subscript"/>
        <sz val="10"/>
        <rFont val="Arial"/>
        <family val="2"/>
        <charset val="1"/>
      </rPr>
      <t>desonerado</t>
    </r>
    <r>
      <rPr>
        <sz val="10"/>
        <rFont val="Arial"/>
        <family val="2"/>
        <charset val="1"/>
      </rPr>
      <t>=SB*(1+ES</t>
    </r>
    <r>
      <rPr>
        <vertAlign val="subscript"/>
        <sz val="10"/>
        <rFont val="Arial"/>
        <family val="2"/>
        <charset val="1"/>
      </rPr>
      <t>desonerado</t>
    </r>
    <r>
      <rPr>
        <sz val="10"/>
        <rFont val="Arial"/>
        <family val="2"/>
        <charset val="1"/>
      </rPr>
      <t>))</t>
    </r>
  </si>
  <si>
    <r>
      <rPr>
        <sz val="10"/>
        <rFont val="Arial"/>
        <family val="2"/>
        <charset val="1"/>
      </rPr>
      <t>Mensalista Não desonerado (M</t>
    </r>
    <r>
      <rPr>
        <vertAlign val="subscript"/>
        <sz val="10"/>
        <rFont val="Arial"/>
        <family val="2"/>
        <charset val="1"/>
      </rPr>
      <t>não_desonerado</t>
    </r>
    <r>
      <rPr>
        <sz val="10"/>
        <rFont val="Arial"/>
        <family val="2"/>
        <charset val="1"/>
      </rPr>
      <t>=SB*(1+ES</t>
    </r>
    <r>
      <rPr>
        <vertAlign val="subscript"/>
        <sz val="10"/>
        <rFont val="Arial"/>
        <family val="2"/>
        <charset val="1"/>
      </rPr>
      <t>não_desonerado</t>
    </r>
    <r>
      <rPr>
        <sz val="10"/>
        <rFont val="Arial"/>
        <family val="2"/>
        <charset val="1"/>
      </rPr>
      <t>))</t>
    </r>
  </si>
  <si>
    <r>
      <rPr>
        <sz val="10"/>
        <rFont val="Arial"/>
        <family val="2"/>
        <charset val="1"/>
      </rPr>
      <t>Horista Desonerado (****) - (H</t>
    </r>
    <r>
      <rPr>
        <vertAlign val="subscript"/>
        <sz val="10"/>
        <rFont val="Arial"/>
        <family val="2"/>
        <charset val="1"/>
      </rPr>
      <t>desonerado</t>
    </r>
    <r>
      <rPr>
        <sz val="10"/>
        <rFont val="Arial"/>
        <family val="2"/>
        <charset val="1"/>
      </rPr>
      <t>=M</t>
    </r>
    <r>
      <rPr>
        <vertAlign val="subscript"/>
        <sz val="10"/>
        <rFont val="Arial"/>
        <family val="2"/>
        <charset val="1"/>
      </rPr>
      <t>desonerado</t>
    </r>
    <r>
      <rPr>
        <sz val="10"/>
        <rFont val="Arial"/>
        <family val="2"/>
        <charset val="1"/>
      </rPr>
      <t>(1+</t>
    </r>
  </si>
  <si>
    <r>
      <rPr>
        <sz val="10"/>
        <rFont val="Arial"/>
        <family val="2"/>
        <charset val="1"/>
      </rPr>
      <t>Horista Não Desonerado (****) - H</t>
    </r>
    <r>
      <rPr>
        <vertAlign val="subscript"/>
        <sz val="10"/>
        <rFont val="Arial"/>
        <family val="2"/>
        <charset val="1"/>
      </rPr>
      <t>não_desonerado</t>
    </r>
  </si>
  <si>
    <t>(*) Descrição da categoria na CCT</t>
  </si>
  <si>
    <t>COMPOSIÇÃO CUSTO OFICIAL DE MANUTENÇÃO PREDIAL (CBO 5143-25)</t>
  </si>
  <si>
    <t>Composição ALTERADA SINAPI – 88264</t>
  </si>
  <si>
    <t>OFICIAL DE MANUTENÇÃO PREDIAL COM ENCARGOS COMPLEMENTARES (CBO 5143-25)</t>
  </si>
  <si>
    <t>CURSO DE CAPACITAÇÃO PARA ELETRICISTA (ENCARGOS COMPLEMENTARES) - HORISTA</t>
  </si>
  <si>
    <t>OFICIAL DE MANUTENÇÃO PREDIAL (CBO 5413-25)</t>
  </si>
  <si>
    <t>ALIMENTACAO - HORISTA (COLETADO CAIXA - ENCARGOS COMPLEMENTARES)</t>
  </si>
  <si>
    <t>TRANSPORTE - HORISTA (COLETADO CAIXA - ENCARGOS COMPLEMENTARES)</t>
  </si>
  <si>
    <t>FERRAMENTAS - FAMILIA ELETRICISTA - HORISTA (ENCARGOS COMPLEMENTARES - COLETADO CAIXA)</t>
  </si>
  <si>
    <t>FERRAMENTAS - FAMILIA ENCANADOR - HORISTA (ENCARGOS COMPLEMENTARES - COLETADO CAIXA)</t>
  </si>
  <si>
    <t>EPI – FAMILIA ELETRICISTA - HORISTA (ENCARGOS COMPLEMENTARES - COLETADO CAIXA)</t>
  </si>
  <si>
    <t>GERÊNCIA</t>
  </si>
  <si>
    <t>ENDEREÇO</t>
  </si>
  <si>
    <t>TEMPO DE DESLOCAMENTO IDA E VOLTA DA BASE EM HORAS</t>
  </si>
  <si>
    <t>ISS</t>
  </si>
  <si>
    <t>ÁREA CONSTRUÍDA (M²)</t>
  </si>
  <si>
    <t>Uso constante
(M²)</t>
  </si>
  <si>
    <t>Uso esporádico (M²)</t>
  </si>
  <si>
    <t>Ociosa (M²)</t>
  </si>
  <si>
    <t>HIDRANTE</t>
  </si>
  <si>
    <t>SUBESTAÇÃO</t>
  </si>
  <si>
    <t>CAXIAS DO SUL</t>
  </si>
  <si>
    <t>Av. Placidina de Araújo, 742</t>
  </si>
  <si>
    <t>NÃO</t>
  </si>
  <si>
    <t>Rua Marechal Floriano, 250</t>
  </si>
  <si>
    <t>Rua General Flores da Cunha, 454</t>
  </si>
  <si>
    <t>SIM</t>
  </si>
  <si>
    <t>Av. Pátria, 525, Centro</t>
  </si>
  <si>
    <t>Rua Gal. Pinheiro Machado, 20, Centro</t>
  </si>
  <si>
    <t>Av. Tiradentes, 401, Centro</t>
  </si>
  <si>
    <t>Rua Vasco da Gama, 259, Centro</t>
  </si>
  <si>
    <t>Av. Borges de Medeiros, 785, Centro</t>
  </si>
  <si>
    <t>Rua Cel. Agilberto Maia, 715, Centro</t>
  </si>
  <si>
    <t>Rua Bento Gonçalves, 304, Centro</t>
  </si>
  <si>
    <t>Rua Irineu Ferlin, 16, Centro</t>
  </si>
  <si>
    <t>Av. 7 de Setembro, 2111, Centro</t>
  </si>
  <si>
    <t>Rua Costa e Silva, 703, Centro</t>
  </si>
  <si>
    <t>Av. Maurício Cardoso, 1224, Centro</t>
  </si>
  <si>
    <t>Rua General Osório, 1244, Centro</t>
  </si>
  <si>
    <t>SANTA MARIA</t>
  </si>
  <si>
    <t>Rua 25 de Agosto, 90, Centro</t>
  </si>
  <si>
    <t>Rua Ramiro Barcelos, 1430, Centro</t>
  </si>
  <si>
    <t>Rua Pedro Alvares Cabral, S/N, Centro</t>
  </si>
  <si>
    <t>Rua Jacob Becker, 1733, Centro</t>
  </si>
  <si>
    <t>PLANILHA DE COMPOSIÇÃO DAS TAXAS DE BONIFICAÇÃO E DESPESAS INDIRETAS (BDI)</t>
  </si>
  <si>
    <t>Fórmula utilizada no Acórdão TCU 2622/2013</t>
  </si>
  <si>
    <t>BDI = (((1+AC+S+R+G)*(1+DF)*(1+L)) / (1-I)) -1</t>
  </si>
  <si>
    <t>onde:</t>
  </si>
  <si>
    <t>AC = Taxa de Administração Central</t>
  </si>
  <si>
    <t>S = Taxa de Seguros</t>
  </si>
  <si>
    <t>R = Taxa de Riscos</t>
  </si>
  <si>
    <t>G = Taxa de Garantias (incluída no seguro)</t>
  </si>
  <si>
    <t>DF = Taxa de Despesas Financeiras</t>
  </si>
  <si>
    <t>L = Taxa de Lucro/Remuneração</t>
  </si>
  <si>
    <t>I = Taxa de Incidência de Impostos (PIS, COFINS, ISS e CPRB)</t>
  </si>
  <si>
    <t>ESTIMATIVA DE COMPOSIÇÃO DA TAXA DE BDI PARA OBRAS E SERVIÇOS</t>
  </si>
  <si>
    <t>AC</t>
  </si>
  <si>
    <t>AC = TAXA DE ADMINISTRAÇÃO CENTRAL</t>
  </si>
  <si>
    <t>DF</t>
  </si>
  <si>
    <t>DF = TAXA DE DESPESAS FINANCEIRAS</t>
  </si>
  <si>
    <t>S+G</t>
  </si>
  <si>
    <t>S+G = TAXA DE SEGUROS + GARANTIAS</t>
  </si>
  <si>
    <t>R</t>
  </si>
  <si>
    <t>R = TAXA DE RISCOS</t>
  </si>
  <si>
    <t>L</t>
  </si>
  <si>
    <t>L = TAXA DE LUCRO/REMUNERAÇÃO</t>
  </si>
  <si>
    <t>PIS</t>
  </si>
  <si>
    <t>COFINS</t>
  </si>
  <si>
    <t>CPRB</t>
  </si>
  <si>
    <t>BDI CALCULADO</t>
  </si>
  <si>
    <t>BDI ADOTADO</t>
  </si>
  <si>
    <t>ESTIMATIVA DE COMPOSIÇÃO DA TAXA DE BDI PARA EQUIPAMENTOS</t>
  </si>
  <si>
    <t>* SINAPI Maio/2025 (Desonerado)</t>
  </si>
  <si>
    <t>05/2025</t>
  </si>
  <si>
    <t>CCT</t>
  </si>
  <si>
    <t>Livro SINAPI: Cálculos e Parâmetros</t>
  </si>
  <si>
    <t>Material</t>
  </si>
  <si>
    <t>Depreciação, Juros, Impostos e Seguros, Manutenção e Materiais na Operação dos Equipamentos</t>
  </si>
  <si>
    <t>Valor Unitário</t>
  </si>
  <si>
    <t>ANEXO I – B3</t>
  </si>
  <si>
    <t>(*) Fonte: Livro SINAPI: Referências para Custos Horários e Encargos: Sistema Nacional de Pesquisa de Custos e Índices da Construção Civil / Caixa Econômica Federal. – 7ª Ed. – Brasília: CAIXA, Junho/2025.</t>
  </si>
  <si>
    <t>95404/SINAPI Alterada (*)</t>
  </si>
  <si>
    <t>CURSO DE CAPACITAÇÃO PARA ENGENHEIRO ELETRICISTA</t>
  </si>
  <si>
    <t>-</t>
  </si>
  <si>
    <t>(*) 95404/SINAPI Alterada: Multiplicado o valor unitário do insumo calculado para engenheiro eletricista com encargos complementares pelo coeficiente 0,0341 (% treinamento rotatividade 14,98 horista, extraído da Tabela 3.36: % Quantitativo das Horas de Capacitação – Horista, para função Engenheiro Eletricista com Encargos Complementares).
Fonte: Livro SINAPI: Referências para Custos Horários e Encargos: Sistema Nacional de Pesquisa de Custos e Índices da Construção Civil / Caixa Econômica Federal. – 7ª Ed. – Brasília: CAIXA, Junho/2025.</t>
  </si>
  <si>
    <r>
      <rPr>
        <b/>
        <sz val="11"/>
        <color rgb="FF000000"/>
        <rFont val="Arial"/>
        <family val="2"/>
      </rPr>
      <t>Parágrafo primeiro.</t>
    </r>
    <r>
      <rPr>
        <sz val="11"/>
        <color rgb="FF000000"/>
        <rFont val="Arial"/>
        <family val="2"/>
        <charset val="1"/>
      </rPr>
      <t xml:space="preserve"> No segmento profissional dos oficiais, acima referido, consideram-se os apontadores, almoxarifes, azulejistas, carpinteiros, colocadores de basalto, eletricistas de manutenção, esquadrilheiros, ferreiros, gesseiros ou assemelhados, graniteiros, guincheiros qualificados, marceneiros, marmoristas, mecânicos, montador de andaimes, operador de betoneira, operadores de bate estaca, operadores de grua, operadores de máquinas automotoras, parqueteiros, pastilheiros, pedreiros, pintores, e serralheiros. </t>
    </r>
  </si>
  <si>
    <t>(**) Fonte: Livro SINAPI: Referências para Custos Horários e Encargos: Sistema Nacional de Pesquisa de Custos e Índices da Construção Civil / Caixa Econômica Federal. – 7ª Ed. – Brasília: CAIXA, Junho/2025.</t>
  </si>
  <si>
    <t>(***) Fonte: SINAPI: Metodologias e Conceitos: Sistema Nacional de Pesquisa de Custos e Índices da Construção Civil / Caixa Econômica Federal. – 10ª Ed. – Brasília: CAIXA, Junho/2025.</t>
  </si>
  <si>
    <t>(****) Fórmula para cálculo do custo do horista, com base no custo do mensalista (Livro Metodologias e Conceitos, página 80)</t>
  </si>
  <si>
    <t>Custos Horários Produtivo e Improdutivo dos Equipamentos</t>
  </si>
  <si>
    <t>VALOR TOTAL DO ITEM 3: R$ 2.824.528,08 (dois milhões, oitocentos e vinte e quatro mil, quinhentos e vinte e oito reais e oito centavos)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</si>
</sst>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quot; R$ &quot;* #,##0.00\ ;&quot;-R$ &quot;* #,##0.00\ ;&quot; R$ &quot;* \-#\ ;@\ "/>
    <numFmt numFmtId="165" formatCode="[$R$-416]\ #,##0.00;[Red]\-[$R$-416]\ #,##0.00"/>
    <numFmt numFmtId="166" formatCode="0.0000%"/>
    <numFmt numFmtId="167" formatCode="#,##0.00\ ;[Red]\(#,##0.00\)"/>
    <numFmt numFmtId="168" formatCode="#,##0.0"/>
    <numFmt numFmtId="169" formatCode="mm/yy"/>
    <numFmt numFmtId="170" formatCode="&quot;R$ &quot;#,##0.00"/>
    <numFmt numFmtId="171" formatCode="d/m/yyyy"/>
    <numFmt numFmtId="172" formatCode="&quot;R$ &quot;#,##0.00;[Red]&quot;-R$ &quot;#,##0.00"/>
    <numFmt numFmtId="173" formatCode="&quot;R$&quot;\ #,##0.00"/>
  </numFmts>
  <fonts count="31">
    <font>
      <sz val="11"/>
      <color rgb="FF000000"/>
      <name val="Arial"/>
      <family val="2"/>
      <charset val="1"/>
    </font>
    <font>
      <sz val="11"/>
      <color rgb="FF000000"/>
      <name val="Calibri"/>
      <family val="2"/>
      <charset val="1"/>
    </font>
    <font>
      <sz val="10"/>
      <name val="Arial"/>
      <family val="2"/>
      <charset val="1"/>
    </font>
    <font>
      <sz val="11"/>
      <color rgb="FF008000"/>
      <name val="Calibri"/>
      <family val="2"/>
      <charset val="1"/>
    </font>
    <font>
      <b/>
      <sz val="8"/>
      <color rgb="FF000000"/>
      <name val="Arial"/>
      <family val="2"/>
      <charset val="1"/>
    </font>
    <font>
      <b/>
      <sz val="12"/>
      <color rgb="FF000000"/>
      <name val="Arial"/>
      <family val="2"/>
      <charset val="1"/>
    </font>
    <font>
      <b/>
      <sz val="11"/>
      <color rgb="FF000000"/>
      <name val="Arial"/>
      <family val="2"/>
      <charset val="1"/>
    </font>
    <font>
      <sz val="10"/>
      <color rgb="FF000000"/>
      <name val="Arial"/>
      <family val="2"/>
      <charset val="1"/>
    </font>
    <font>
      <b/>
      <sz val="10"/>
      <color rgb="FF000000"/>
      <name val="Arial"/>
      <family val="2"/>
      <charset val="1"/>
    </font>
    <font>
      <b/>
      <sz val="10"/>
      <name val="Arial"/>
      <family val="2"/>
      <charset val="1"/>
    </font>
    <font>
      <i/>
      <sz val="10"/>
      <name val="Arial"/>
      <family val="2"/>
      <charset val="1"/>
    </font>
    <font>
      <b/>
      <sz val="11"/>
      <name val="Arial"/>
      <family val="2"/>
      <charset val="1"/>
    </font>
    <font>
      <sz val="10"/>
      <color rgb="FF000000"/>
      <name val="Times New Roman"/>
      <family val="1"/>
      <charset val="1"/>
    </font>
    <font>
      <b/>
      <sz val="11"/>
      <name val="Arial"/>
      <family val="1"/>
      <charset val="1"/>
    </font>
    <font>
      <b/>
      <sz val="10"/>
      <name val="Arial"/>
      <family val="1"/>
      <charset val="1"/>
    </font>
    <font>
      <sz val="10"/>
      <name val="Arial"/>
      <family val="1"/>
      <charset val="1"/>
    </font>
    <font>
      <b/>
      <sz val="10"/>
      <color rgb="FF000000"/>
      <name val="Arial"/>
      <family val="1"/>
      <charset val="1"/>
    </font>
    <font>
      <sz val="10"/>
      <color rgb="FF000000"/>
      <name val="Arial"/>
      <family val="1"/>
      <charset val="1"/>
    </font>
    <font>
      <vertAlign val="subscript"/>
      <sz val="10"/>
      <name val="Arial"/>
      <family val="2"/>
      <charset val="1"/>
    </font>
    <font>
      <sz val="11"/>
      <name val="Arial"/>
      <family val="2"/>
      <charset val="1"/>
    </font>
    <font>
      <sz val="10"/>
      <name val="Times New Roman"/>
      <family val="1"/>
      <charset val="1"/>
    </font>
    <font>
      <sz val="12"/>
      <color rgb="FF000000"/>
      <name val="Arial"/>
      <family val="2"/>
      <charset val="1"/>
    </font>
    <font>
      <b/>
      <sz val="13"/>
      <name val="Arial"/>
      <family val="2"/>
      <charset val="1"/>
    </font>
    <font>
      <sz val="11"/>
      <color rgb="FF000000"/>
      <name val="Arial"/>
      <family val="2"/>
      <charset val="1"/>
    </font>
    <font>
      <b/>
      <sz val="10"/>
      <color rgb="FF000000"/>
      <name val="Arial"/>
      <family val="2"/>
    </font>
    <font>
      <sz val="12"/>
      <name val="Arial"/>
      <family val="2"/>
      <charset val="1"/>
    </font>
    <font>
      <sz val="10"/>
      <name val="Arial;Arial"/>
      <family val="2"/>
      <charset val="1"/>
    </font>
    <font>
      <sz val="10"/>
      <name val="Arial"/>
      <family val="2"/>
    </font>
    <font>
      <sz val="11"/>
      <name val="Arial"/>
      <family val="2"/>
    </font>
    <font>
      <b/>
      <sz val="11"/>
      <color rgb="FF000000"/>
      <name val="Arial"/>
      <family val="2"/>
    </font>
    <font>
      <sz val="11"/>
      <color rgb="FF000000"/>
      <name val="Arial"/>
      <family val="2"/>
    </font>
  </fonts>
  <fills count="11">
    <fill>
      <patternFill patternType="none"/>
    </fill>
    <fill>
      <patternFill patternType="gray125"/>
    </fill>
    <fill>
      <patternFill patternType="solid">
        <fgColor rgb="FFCCFFCC"/>
        <bgColor rgb="FFEDEDED"/>
      </patternFill>
    </fill>
    <fill>
      <patternFill patternType="solid">
        <fgColor rgb="FFD9D9D9"/>
        <bgColor rgb="FFDCDADA"/>
      </patternFill>
    </fill>
    <fill>
      <patternFill patternType="solid">
        <fgColor rgb="FFEDEDED"/>
        <bgColor rgb="FFEEEEEE"/>
      </patternFill>
    </fill>
    <fill>
      <patternFill patternType="solid">
        <fgColor rgb="FFEEEEEE"/>
        <bgColor rgb="FFEDEDED"/>
      </patternFill>
    </fill>
    <fill>
      <patternFill patternType="solid">
        <fgColor rgb="FFCCCCCC"/>
        <bgColor rgb="FFD9D9D9"/>
      </patternFill>
    </fill>
    <fill>
      <patternFill patternType="solid">
        <fgColor rgb="FFFFFFFF"/>
        <bgColor rgb="FFF2F2F2"/>
      </patternFill>
    </fill>
    <fill>
      <patternFill patternType="solid">
        <fgColor theme="2" tint="-4.9989318521683403E-2"/>
        <bgColor rgb="FFD9D9D9"/>
      </patternFill>
    </fill>
    <fill>
      <patternFill patternType="solid">
        <fgColor rgb="FFF2F2F2"/>
        <bgColor rgb="FFEEEEEE"/>
      </patternFill>
    </fill>
    <fill>
      <patternFill patternType="solid">
        <fgColor rgb="FFFFFFFF"/>
        <bgColor rgb="FFEEEEEE"/>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10">
    <xf numFmtId="0" fontId="0" fillId="0" borderId="0"/>
    <xf numFmtId="164" fontId="23" fillId="0" borderId="0" applyBorder="0" applyProtection="0"/>
    <xf numFmtId="9" fontId="2" fillId="0" borderId="0" applyBorder="0" applyProtection="0"/>
    <xf numFmtId="164" fontId="23" fillId="0" borderId="0" applyBorder="0" applyProtection="0"/>
    <xf numFmtId="0" fontId="1" fillId="0" borderId="0"/>
    <xf numFmtId="0" fontId="23" fillId="0" borderId="0"/>
    <xf numFmtId="0" fontId="2" fillId="0" borderId="0"/>
    <xf numFmtId="9" fontId="1" fillId="0" borderId="0" applyBorder="0" applyProtection="0"/>
    <xf numFmtId="0" fontId="3" fillId="2" borderId="0"/>
    <xf numFmtId="0" fontId="3" fillId="2" borderId="0"/>
  </cellStyleXfs>
  <cellXfs count="256">
    <xf numFmtId="0" fontId="0" fillId="0" borderId="0" xfId="0"/>
    <xf numFmtId="2"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0" xfId="0" applyAlignment="1">
      <alignment vertical="center" wrapText="1"/>
    </xf>
    <xf numFmtId="0" fontId="4" fillId="0" borderId="0" xfId="0" applyFont="1" applyAlignment="1">
      <alignment horizontal="center" vertical="center" wrapText="1"/>
    </xf>
    <xf numFmtId="0" fontId="6"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center" vertical="center" wrapText="1"/>
    </xf>
    <xf numFmtId="165" fontId="0" fillId="0" borderId="1" xfId="0" applyNumberFormat="1" applyBorder="1" applyAlignment="1">
      <alignment horizontal="center" vertical="center" wrapText="1"/>
    </xf>
    <xf numFmtId="165" fontId="6" fillId="0" borderId="1" xfId="0" applyNumberFormat="1" applyFont="1" applyBorder="1" applyAlignment="1">
      <alignment horizontal="center"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5" fillId="0" borderId="0" xfId="0" applyFont="1" applyAlignment="1">
      <alignment vertical="center" wrapText="1"/>
    </xf>
    <xf numFmtId="0" fontId="0" fillId="0" borderId="0" xfId="0" applyAlignment="1">
      <alignment horizontal="center" vertical="center" wrapText="1"/>
    </xf>
    <xf numFmtId="0" fontId="8" fillId="5" borderId="1" xfId="0" applyFont="1" applyFill="1" applyBorder="1" applyAlignment="1">
      <alignment horizontal="center" vertical="center" wrapText="1"/>
    </xf>
    <xf numFmtId="0" fontId="8" fillId="0" borderId="1" xfId="0" applyFont="1" applyBorder="1" applyAlignment="1">
      <alignment vertical="center" wrapText="1"/>
    </xf>
    <xf numFmtId="4"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0" fontId="8" fillId="5" borderId="1" xfId="0" applyFont="1" applyFill="1" applyBorder="1" applyAlignment="1">
      <alignment vertical="center" wrapText="1"/>
    </xf>
    <xf numFmtId="4" fontId="8" fillId="5" borderId="1" xfId="0" applyNumberFormat="1" applyFont="1" applyFill="1" applyBorder="1" applyAlignment="1">
      <alignment horizontal="center" vertical="center" wrapText="1"/>
    </xf>
    <xf numFmtId="165" fontId="8" fillId="5" borderId="1" xfId="1" applyNumberFormat="1" applyFont="1" applyFill="1" applyBorder="1" applyAlignment="1" applyProtection="1">
      <alignment horizontal="center" vertical="center" wrapText="1"/>
    </xf>
    <xf numFmtId="165" fontId="7" fillId="0" borderId="0" xfId="0" applyNumberFormat="1" applyFont="1" applyAlignment="1">
      <alignment vertical="center" wrapText="1"/>
    </xf>
    <xf numFmtId="165" fontId="0" fillId="0" borderId="0" xfId="0" applyNumberFormat="1" applyAlignment="1">
      <alignment vertical="center" wrapText="1"/>
    </xf>
    <xf numFmtId="0" fontId="8" fillId="0" borderId="0" xfId="0" applyFont="1" applyAlignment="1">
      <alignment vertical="center" wrapText="1"/>
    </xf>
    <xf numFmtId="0" fontId="6" fillId="0" borderId="0" xfId="0" applyFont="1"/>
    <xf numFmtId="0" fontId="9" fillId="0" borderId="1" xfId="0" applyFont="1" applyBorder="1" applyAlignment="1">
      <alignment horizontal="center" vertical="center" wrapText="1"/>
    </xf>
    <xf numFmtId="2" fontId="9"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65" fontId="9" fillId="5" borderId="1" xfId="0" applyNumberFormat="1" applyFont="1" applyFill="1" applyBorder="1" applyAlignment="1">
      <alignment horizontal="center" vertical="center" wrapText="1"/>
    </xf>
    <xf numFmtId="166" fontId="9" fillId="5" borderId="1" xfId="0" applyNumberFormat="1" applyFont="1" applyFill="1" applyBorder="1" applyAlignment="1">
      <alignment horizontal="center" vertical="center" wrapText="1"/>
    </xf>
    <xf numFmtId="165" fontId="9" fillId="0" borderId="0" xfId="0" applyNumberFormat="1" applyFont="1" applyAlignment="1">
      <alignment horizontal="center" vertical="center" wrapText="1"/>
    </xf>
    <xf numFmtId="166" fontId="9" fillId="0" borderId="0" xfId="0" applyNumberFormat="1" applyFont="1" applyAlignment="1">
      <alignment horizontal="center" vertical="center" wrapText="1"/>
    </xf>
    <xf numFmtId="0" fontId="9" fillId="0" borderId="0" xfId="0" applyFont="1" applyAlignment="1">
      <alignment horizontal="center" vertical="center" wrapText="1"/>
    </xf>
    <xf numFmtId="0" fontId="6" fillId="0" borderId="0" xfId="0" applyFont="1" applyAlignment="1">
      <alignment horizontal="center" vertical="center"/>
    </xf>
    <xf numFmtId="165" fontId="7" fillId="0" borderId="1" xfId="0" applyNumberFormat="1" applyFont="1" applyBorder="1" applyAlignment="1">
      <alignment horizontal="center" vertical="center"/>
    </xf>
    <xf numFmtId="2" fontId="8" fillId="0" borderId="1" xfId="0" applyNumberFormat="1" applyFont="1" applyBorder="1" applyAlignment="1">
      <alignment horizontal="center" vertical="center"/>
    </xf>
    <xf numFmtId="0" fontId="7" fillId="0" borderId="1" xfId="0" applyFont="1" applyBorder="1" applyAlignment="1">
      <alignment horizontal="center" vertical="center"/>
    </xf>
    <xf numFmtId="2" fontId="10" fillId="0" borderId="0" xfId="0" applyNumberFormat="1" applyFont="1" applyAlignment="1">
      <alignment vertical="center"/>
    </xf>
    <xf numFmtId="0" fontId="0" fillId="0" borderId="0" xfId="0" applyAlignment="1">
      <alignment horizontal="center" vertical="center"/>
    </xf>
    <xf numFmtId="2" fontId="7" fillId="0" borderId="0" xfId="0" applyNumberFormat="1" applyFont="1" applyAlignment="1">
      <alignment horizontal="center" vertical="center" wrapText="1"/>
    </xf>
    <xf numFmtId="2" fontId="8" fillId="0" borderId="0" xfId="0" applyNumberFormat="1" applyFont="1" applyAlignment="1">
      <alignment horizontal="center" vertical="center" wrapText="1"/>
    </xf>
    <xf numFmtId="2" fontId="9" fillId="0" borderId="0" xfId="0" applyNumberFormat="1" applyFont="1" applyAlignment="1">
      <alignment horizontal="center" vertical="center" wrapText="1"/>
    </xf>
    <xf numFmtId="2" fontId="9" fillId="4" borderId="1" xfId="0" applyNumberFormat="1" applyFont="1" applyFill="1" applyBorder="1" applyAlignment="1">
      <alignment horizontal="center" vertical="center" wrapText="1"/>
    </xf>
    <xf numFmtId="0" fontId="9" fillId="0" borderId="0" xfId="0" applyFont="1"/>
    <xf numFmtId="2" fontId="8" fillId="0" borderId="1" xfId="0" applyNumberFormat="1" applyFont="1" applyBorder="1" applyAlignment="1">
      <alignment horizontal="center" vertical="center" wrapText="1"/>
    </xf>
    <xf numFmtId="2" fontId="8" fillId="0" borderId="0" xfId="0" applyNumberFormat="1" applyFont="1" applyAlignment="1">
      <alignment vertical="center" wrapText="1"/>
    </xf>
    <xf numFmtId="2" fontId="9" fillId="0" borderId="0" xfId="0" applyNumberFormat="1" applyFont="1" applyAlignment="1">
      <alignment vertical="center"/>
    </xf>
    <xf numFmtId="167" fontId="7" fillId="0" borderId="1" xfId="0" applyNumberFormat="1" applyFont="1" applyBorder="1" applyAlignment="1">
      <alignment horizontal="left" vertical="center" wrapText="1"/>
    </xf>
    <xf numFmtId="167" fontId="7" fillId="0" borderId="1" xfId="0" applyNumberFormat="1" applyFont="1" applyBorder="1" applyAlignment="1">
      <alignment horizontal="right" vertical="center" wrapText="1"/>
    </xf>
    <xf numFmtId="167" fontId="7" fillId="0" borderId="1" xfId="0" applyNumberFormat="1" applyFont="1" applyBorder="1" applyAlignment="1">
      <alignment horizontal="center" vertical="center" wrapText="1"/>
    </xf>
    <xf numFmtId="165" fontId="7" fillId="0" borderId="1" xfId="0" applyNumberFormat="1" applyFont="1" applyBorder="1" applyAlignment="1">
      <alignment horizontal="right" vertical="center" wrapText="1"/>
    </xf>
    <xf numFmtId="167" fontId="7" fillId="0" borderId="0" xfId="0" applyNumberFormat="1" applyFont="1" applyAlignment="1">
      <alignment vertical="center" wrapText="1"/>
    </xf>
    <xf numFmtId="10" fontId="7" fillId="0" borderId="1" xfId="0" applyNumberFormat="1" applyFont="1" applyBorder="1" applyAlignment="1">
      <alignment horizontal="center" vertical="center"/>
    </xf>
    <xf numFmtId="2" fontId="7" fillId="0" borderId="0" xfId="0" applyNumberFormat="1" applyFont="1" applyAlignment="1">
      <alignment vertical="center"/>
    </xf>
    <xf numFmtId="2" fontId="7" fillId="0" borderId="1" xfId="0" applyNumberFormat="1" applyFont="1" applyBorder="1" applyAlignment="1">
      <alignment vertical="center"/>
    </xf>
    <xf numFmtId="165" fontId="7" fillId="0" borderId="0" xfId="0" applyNumberFormat="1" applyFont="1" applyAlignment="1">
      <alignment horizontal="center" vertical="center"/>
    </xf>
    <xf numFmtId="2" fontId="8" fillId="4" borderId="1" xfId="0" applyNumberFormat="1" applyFont="1" applyFill="1" applyBorder="1" applyAlignment="1">
      <alignment vertical="center"/>
    </xf>
    <xf numFmtId="167" fontId="7" fillId="0" borderId="1" xfId="0" applyNumberFormat="1" applyFont="1" applyBorder="1" applyAlignment="1">
      <alignment horizontal="justify" vertical="center" wrapText="1"/>
    </xf>
    <xf numFmtId="0" fontId="8" fillId="4" borderId="5" xfId="0" applyFont="1" applyFill="1" applyBorder="1" applyAlignment="1">
      <alignment vertical="center" wrapText="1"/>
    </xf>
    <xf numFmtId="167" fontId="8" fillId="4" borderId="1" xfId="0" applyNumberFormat="1" applyFont="1" applyFill="1" applyBorder="1" applyAlignment="1">
      <alignment horizontal="right" vertical="center" wrapText="1"/>
    </xf>
    <xf numFmtId="167" fontId="8" fillId="4" borderId="1" xfId="0" applyNumberFormat="1" applyFont="1" applyFill="1" applyBorder="1" applyAlignment="1">
      <alignment horizontal="center" vertical="center" wrapText="1"/>
    </xf>
    <xf numFmtId="165" fontId="8" fillId="4" borderId="1" xfId="0" applyNumberFormat="1" applyFont="1" applyFill="1" applyBorder="1" applyAlignment="1">
      <alignment horizontal="right" vertical="center" wrapText="1"/>
    </xf>
    <xf numFmtId="167" fontId="8" fillId="0" borderId="0" xfId="0" applyNumberFormat="1" applyFont="1" applyAlignment="1">
      <alignment horizontal="center" vertical="center" wrapText="1"/>
    </xf>
    <xf numFmtId="165" fontId="9" fillId="4" borderId="1" xfId="0" applyNumberFormat="1" applyFont="1" applyFill="1" applyBorder="1" applyAlignment="1">
      <alignment horizontal="center" vertical="center" wrapText="1"/>
    </xf>
    <xf numFmtId="165" fontId="9" fillId="4" borderId="1" xfId="0" applyNumberFormat="1" applyFont="1" applyFill="1" applyBorder="1" applyAlignment="1">
      <alignment horizontal="center" vertical="center"/>
    </xf>
    <xf numFmtId="0" fontId="12" fillId="0" borderId="0" xfId="0" applyFont="1" applyAlignment="1">
      <alignment vertical="center" wrapText="1"/>
    </xf>
    <xf numFmtId="2" fontId="7" fillId="0" borderId="0" xfId="0" applyNumberFormat="1" applyFont="1" applyAlignment="1">
      <alignment vertical="center" wrapText="1"/>
    </xf>
    <xf numFmtId="2" fontId="7" fillId="0" borderId="1" xfId="0" applyNumberFormat="1" applyFont="1" applyBorder="1" applyAlignment="1">
      <alignment horizontal="center" vertical="center" wrapText="1"/>
    </xf>
    <xf numFmtId="0" fontId="7" fillId="0" borderId="0" xfId="0" applyFont="1"/>
    <xf numFmtId="0" fontId="7" fillId="0" borderId="0" xfId="0" applyFont="1" applyAlignment="1">
      <alignment horizontal="center"/>
    </xf>
    <xf numFmtId="0" fontId="8" fillId="0" borderId="0" xfId="0" applyFont="1" applyAlignment="1">
      <alignment horizontal="center" vertical="center" wrapText="1"/>
    </xf>
    <xf numFmtId="0" fontId="8" fillId="5" borderId="2" xfId="0" applyFont="1" applyFill="1" applyBorder="1" applyAlignment="1">
      <alignment horizontal="center" vertical="center" wrapText="1"/>
    </xf>
    <xf numFmtId="0" fontId="7" fillId="0" borderId="1" xfId="5" applyFont="1" applyBorder="1" applyAlignment="1">
      <alignment horizontal="center" vertical="center"/>
    </xf>
    <xf numFmtId="168" fontId="8" fillId="0" borderId="1" xfId="5" applyNumberFormat="1" applyFont="1" applyBorder="1" applyAlignment="1">
      <alignment horizontal="center" vertical="center"/>
    </xf>
    <xf numFmtId="3" fontId="8" fillId="0" borderId="1" xfId="5" applyNumberFormat="1" applyFont="1" applyBorder="1" applyAlignment="1">
      <alignment horizontal="center" vertical="center"/>
    </xf>
    <xf numFmtId="4" fontId="8" fillId="0" borderId="1" xfId="5" applyNumberFormat="1" applyFont="1" applyBorder="1" applyAlignment="1">
      <alignment horizontal="center" vertical="center"/>
    </xf>
    <xf numFmtId="164" fontId="8" fillId="0" borderId="1" xfId="3" applyFont="1" applyBorder="1" applyAlignment="1" applyProtection="1">
      <alignment horizontal="center" vertical="center"/>
    </xf>
    <xf numFmtId="168" fontId="8" fillId="4" borderId="1" xfId="0" applyNumberFormat="1" applyFont="1" applyFill="1" applyBorder="1" applyAlignment="1">
      <alignment horizontal="center" vertical="center"/>
    </xf>
    <xf numFmtId="3" fontId="8" fillId="4" borderId="1" xfId="0" applyNumberFormat="1" applyFont="1" applyFill="1" applyBorder="1" applyAlignment="1">
      <alignment horizontal="center" vertical="center"/>
    </xf>
    <xf numFmtId="4" fontId="8" fillId="4" borderId="5" xfId="0" applyNumberFormat="1" applyFont="1" applyFill="1" applyBorder="1" applyAlignment="1">
      <alignment horizontal="center" vertical="center"/>
    </xf>
    <xf numFmtId="164" fontId="8" fillId="4" borderId="1" xfId="1" applyFont="1" applyFill="1" applyBorder="1" applyAlignment="1" applyProtection="1">
      <alignment horizontal="center" vertical="center"/>
    </xf>
    <xf numFmtId="1" fontId="8" fillId="4" borderId="1" xfId="1" applyNumberFormat="1" applyFont="1" applyFill="1" applyBorder="1" applyAlignment="1" applyProtection="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8" fillId="0" borderId="4" xfId="0" applyFont="1" applyBorder="1" applyAlignment="1">
      <alignment horizontal="center" vertical="center"/>
    </xf>
    <xf numFmtId="0" fontId="7" fillId="0" borderId="1" xfId="0" applyFont="1" applyBorder="1" applyAlignment="1">
      <alignment vertical="center"/>
    </xf>
    <xf numFmtId="165" fontId="7" fillId="0" borderId="1" xfId="0" applyNumberFormat="1" applyFont="1" applyBorder="1" applyAlignment="1">
      <alignment vertical="center"/>
    </xf>
    <xf numFmtId="165" fontId="7" fillId="0" borderId="0" xfId="0" applyNumberFormat="1" applyFont="1" applyAlignment="1">
      <alignment vertical="center"/>
    </xf>
    <xf numFmtId="0" fontId="7" fillId="0" borderId="2" xfId="0" applyFont="1" applyBorder="1" applyAlignment="1">
      <alignment horizontal="center" vertical="center"/>
    </xf>
    <xf numFmtId="0" fontId="7" fillId="0" borderId="2" xfId="0" applyFont="1" applyBorder="1" applyAlignment="1">
      <alignment vertical="center"/>
    </xf>
    <xf numFmtId="165" fontId="7" fillId="0" borderId="2" xfId="0" applyNumberFormat="1" applyFont="1" applyBorder="1" applyAlignment="1">
      <alignment vertical="center"/>
    </xf>
    <xf numFmtId="0" fontId="2" fillId="0" borderId="0" xfId="0" applyFont="1" applyAlignment="1">
      <alignment vertical="center" wrapText="1"/>
    </xf>
    <xf numFmtId="0" fontId="2" fillId="0" borderId="0" xfId="0" applyFont="1" applyAlignment="1">
      <alignment horizontal="left" vertical="center" wrapText="1"/>
    </xf>
    <xf numFmtId="0" fontId="9" fillId="0" borderId="1" xfId="0" applyFont="1" applyBorder="1" applyAlignment="1">
      <alignment horizontal="center" vertical="center"/>
    </xf>
    <xf numFmtId="165" fontId="9" fillId="0" borderId="1" xfId="0" applyNumberFormat="1" applyFont="1" applyBorder="1" applyAlignment="1">
      <alignment vertical="center"/>
    </xf>
    <xf numFmtId="165" fontId="7" fillId="0" borderId="0" xfId="0" applyNumberFormat="1" applyFont="1" applyAlignment="1">
      <alignment horizontal="left" vertical="center"/>
    </xf>
    <xf numFmtId="0" fontId="8" fillId="0" borderId="7" xfId="0" applyFont="1" applyBorder="1" applyAlignment="1">
      <alignment horizontal="center" vertical="center"/>
    </xf>
    <xf numFmtId="165" fontId="8" fillId="0" borderId="1" xfId="0" applyNumberFormat="1" applyFont="1" applyBorder="1" applyAlignment="1">
      <alignment horizontal="center" vertical="center"/>
    </xf>
    <xf numFmtId="165" fontId="8" fillId="0" borderId="0" xfId="0" applyNumberFormat="1" applyFont="1" applyAlignment="1">
      <alignment horizontal="left" vertical="center"/>
    </xf>
    <xf numFmtId="0" fontId="8" fillId="0" borderId="1" xfId="0" applyFont="1" applyBorder="1" applyAlignment="1">
      <alignment horizontal="center" vertical="center"/>
    </xf>
    <xf numFmtId="0" fontId="7" fillId="0" borderId="2" xfId="0" applyFont="1" applyBorder="1" applyAlignment="1">
      <alignment vertical="center" wrapText="1"/>
    </xf>
    <xf numFmtId="0" fontId="14" fillId="7" borderId="0" xfId="8" applyFont="1" applyFill="1" applyAlignment="1">
      <alignment horizontal="left" vertical="top" wrapText="1"/>
    </xf>
    <xf numFmtId="165" fontId="15" fillId="7" borderId="0" xfId="8" applyNumberFormat="1" applyFont="1" applyFill="1" applyAlignment="1">
      <alignment horizontal="left" vertical="top" wrapText="1"/>
    </xf>
    <xf numFmtId="0" fontId="13" fillId="7" borderId="1" xfId="8" applyFont="1" applyFill="1" applyBorder="1" applyAlignment="1">
      <alignment horizontal="center" vertical="center" wrapText="1"/>
    </xf>
    <xf numFmtId="0" fontId="17" fillId="7" borderId="1" xfId="8" applyFont="1" applyFill="1" applyBorder="1" applyAlignment="1">
      <alignment horizontal="center" vertical="center" wrapText="1"/>
    </xf>
    <xf numFmtId="0" fontId="17" fillId="7" borderId="1" xfId="8" applyFont="1" applyFill="1" applyBorder="1" applyAlignment="1">
      <alignment horizontal="left" vertical="center" wrapText="1"/>
    </xf>
    <xf numFmtId="2" fontId="17" fillId="7" borderId="1" xfId="8" applyNumberFormat="1" applyFont="1" applyFill="1" applyBorder="1" applyAlignment="1">
      <alignment horizontal="center" vertical="center" wrapText="1"/>
    </xf>
    <xf numFmtId="0" fontId="7" fillId="0" borderId="0" xfId="0" applyFont="1" applyAlignment="1">
      <alignment horizontal="left" vertical="center" wrapText="1"/>
    </xf>
    <xf numFmtId="0" fontId="2" fillId="0" borderId="0" xfId="6" applyAlignment="1">
      <alignment vertical="center"/>
    </xf>
    <xf numFmtId="0" fontId="9" fillId="8" borderId="1" xfId="6" applyFont="1" applyFill="1" applyBorder="1" applyAlignment="1">
      <alignment horizontal="center" vertical="center" wrapText="1"/>
    </xf>
    <xf numFmtId="0" fontId="2" fillId="0" borderId="1" xfId="6" applyBorder="1" applyAlignment="1">
      <alignment vertical="center"/>
    </xf>
    <xf numFmtId="171" fontId="2" fillId="7" borderId="1" xfId="6" applyNumberFormat="1" applyFill="1" applyBorder="1" applyAlignment="1">
      <alignment horizontal="center" vertical="center" wrapText="1"/>
    </xf>
    <xf numFmtId="165" fontId="2" fillId="7" borderId="1" xfId="6" applyNumberFormat="1" applyFill="1" applyBorder="1" applyAlignment="1">
      <alignment horizontal="center" vertical="center" wrapText="1"/>
    </xf>
    <xf numFmtId="0" fontId="2" fillId="3" borderId="1" xfId="6" applyFill="1" applyBorder="1" applyAlignment="1">
      <alignment vertical="center"/>
    </xf>
    <xf numFmtId="165" fontId="2" fillId="3" borderId="1" xfId="6" applyNumberFormat="1" applyFill="1" applyBorder="1" applyAlignment="1">
      <alignment horizontal="center" vertical="center" wrapText="1"/>
    </xf>
    <xf numFmtId="0" fontId="9" fillId="0" borderId="1" xfId="6" applyFont="1" applyBorder="1" applyAlignment="1">
      <alignment vertical="center" wrapText="1"/>
    </xf>
    <xf numFmtId="0" fontId="2" fillId="0" borderId="1" xfId="6" applyBorder="1" applyAlignment="1">
      <alignment vertical="center" wrapText="1"/>
    </xf>
    <xf numFmtId="10" fontId="2" fillId="0" borderId="1" xfId="6" applyNumberFormat="1" applyBorder="1" applyAlignment="1">
      <alignment vertical="center"/>
    </xf>
    <xf numFmtId="0" fontId="9" fillId="0" borderId="1" xfId="6" applyFont="1" applyBorder="1" applyAlignment="1">
      <alignment vertical="center"/>
    </xf>
    <xf numFmtId="165" fontId="2" fillId="0" borderId="1" xfId="6" applyNumberFormat="1" applyBorder="1" applyAlignment="1">
      <alignment vertical="center"/>
    </xf>
    <xf numFmtId="165" fontId="9" fillId="8" borderId="1" xfId="6" applyNumberFormat="1" applyFont="1" applyFill="1" applyBorder="1" applyAlignment="1">
      <alignment vertical="center"/>
    </xf>
    <xf numFmtId="0" fontId="7" fillId="0" borderId="0" xfId="0" applyFont="1" applyAlignment="1">
      <alignment horizontal="left" wrapText="1"/>
    </xf>
    <xf numFmtId="170" fontId="17" fillId="7" borderId="1" xfId="8" applyNumberFormat="1" applyFont="1" applyFill="1" applyBorder="1" applyAlignment="1">
      <alignment horizontal="center" vertical="center" wrapText="1"/>
    </xf>
    <xf numFmtId="0" fontId="0" fillId="0" borderId="0" xfId="0" applyAlignment="1">
      <alignment vertical="center"/>
    </xf>
    <xf numFmtId="0" fontId="9" fillId="9" borderId="1" xfId="0" applyFont="1" applyFill="1" applyBorder="1" applyAlignment="1">
      <alignment horizontal="center" vertical="center" wrapText="1"/>
    </xf>
    <xf numFmtId="0" fontId="0" fillId="0" borderId="1" xfId="0" applyBorder="1" applyAlignment="1">
      <alignment vertical="center"/>
    </xf>
    <xf numFmtId="0" fontId="0" fillId="3" borderId="1" xfId="0" applyFill="1" applyBorder="1" applyAlignment="1">
      <alignment vertical="center"/>
    </xf>
    <xf numFmtId="165" fontId="0" fillId="3" borderId="1" xfId="0" applyNumberFormat="1" applyFill="1" applyBorder="1" applyAlignment="1">
      <alignment horizontal="center" vertical="center" wrapText="1"/>
    </xf>
    <xf numFmtId="0" fontId="9" fillId="0" borderId="1" xfId="0" applyFont="1" applyBorder="1" applyAlignment="1">
      <alignment vertical="center" wrapText="1"/>
    </xf>
    <xf numFmtId="10" fontId="0" fillId="0" borderId="1" xfId="0" applyNumberFormat="1" applyBorder="1"/>
    <xf numFmtId="0" fontId="9" fillId="0" borderId="1" xfId="0" applyFont="1" applyBorder="1" applyAlignment="1">
      <alignment vertical="center"/>
    </xf>
    <xf numFmtId="165" fontId="0" fillId="0" borderId="1" xfId="0" applyNumberFormat="1" applyBorder="1" applyAlignment="1">
      <alignment vertical="center"/>
    </xf>
    <xf numFmtId="0" fontId="2" fillId="0" borderId="1" xfId="0" applyFont="1" applyBorder="1" applyAlignment="1">
      <alignment vertical="center"/>
    </xf>
    <xf numFmtId="165" fontId="9" fillId="9" borderId="1" xfId="0" applyNumberFormat="1" applyFont="1" applyFill="1" applyBorder="1" applyAlignment="1">
      <alignment vertical="center"/>
    </xf>
    <xf numFmtId="0" fontId="0" fillId="0" borderId="0" xfId="0" applyAlignment="1">
      <alignment horizontal="left" vertical="center" wrapText="1"/>
    </xf>
    <xf numFmtId="0" fontId="12" fillId="0" borderId="0" xfId="0" applyFont="1" applyAlignment="1">
      <alignment wrapText="1"/>
    </xf>
    <xf numFmtId="0" fontId="19" fillId="0" borderId="0" xfId="0" applyFont="1"/>
    <xf numFmtId="0" fontId="15" fillId="7" borderId="1" xfId="8" applyFont="1" applyFill="1" applyBorder="1" applyAlignment="1">
      <alignment horizontal="center" vertical="center" wrapText="1"/>
    </xf>
    <xf numFmtId="2" fontId="15" fillId="7" borderId="1" xfId="8" applyNumberFormat="1" applyFont="1" applyFill="1" applyBorder="1" applyAlignment="1">
      <alignment horizontal="center" vertical="center" wrapText="1"/>
    </xf>
    <xf numFmtId="170" fontId="15" fillId="7" borderId="1" xfId="8" applyNumberFormat="1" applyFont="1" applyFill="1" applyBorder="1" applyAlignment="1">
      <alignment horizontal="center" vertical="center" wrapText="1"/>
    </xf>
    <xf numFmtId="0" fontId="20" fillId="0" borderId="0" xfId="0" applyFont="1" applyAlignment="1">
      <alignment wrapText="1"/>
    </xf>
    <xf numFmtId="0" fontId="21" fillId="0" borderId="0" xfId="0" applyFont="1" applyAlignment="1">
      <alignment vertical="center" wrapText="1"/>
    </xf>
    <xf numFmtId="0" fontId="7" fillId="0" borderId="1" xfId="0" applyFont="1" applyBorder="1" applyAlignment="1">
      <alignment horizontal="center" vertical="center" wrapText="1"/>
    </xf>
    <xf numFmtId="0" fontId="2" fillId="0" borderId="1" xfId="8" applyFont="1" applyFill="1" applyBorder="1" applyAlignment="1">
      <alignment vertical="center" wrapText="1"/>
    </xf>
    <xf numFmtId="10" fontId="2" fillId="0" borderId="1" xfId="2" applyNumberFormat="1" applyBorder="1" applyAlignment="1" applyProtection="1">
      <alignment horizontal="center" vertical="center" wrapText="1"/>
    </xf>
    <xf numFmtId="0" fontId="0" fillId="0" borderId="0" xfId="0" applyAlignment="1">
      <alignment horizontal="center"/>
    </xf>
    <xf numFmtId="0" fontId="0" fillId="0" borderId="6" xfId="0" applyBorder="1" applyAlignment="1">
      <alignment vertical="center" wrapText="1"/>
    </xf>
    <xf numFmtId="0" fontId="0" fillId="0" borderId="8" xfId="0" applyBorder="1"/>
    <xf numFmtId="0" fontId="9" fillId="0" borderId="6" xfId="0" applyFont="1" applyBorder="1" applyAlignment="1">
      <alignment horizontal="justify" vertical="center" wrapText="1"/>
    </xf>
    <xf numFmtId="0" fontId="9" fillId="0" borderId="0" xfId="0" applyFont="1" applyAlignment="1">
      <alignment horizontal="justify" vertical="center" wrapText="1"/>
    </xf>
    <xf numFmtId="0" fontId="8" fillId="4" borderId="9"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10" xfId="0" applyFont="1" applyFill="1" applyBorder="1" applyAlignment="1">
      <alignment horizontal="center" vertical="center" wrapText="1"/>
    </xf>
    <xf numFmtId="10" fontId="8" fillId="4" borderId="7" xfId="0" applyNumberFormat="1" applyFont="1" applyFill="1" applyBorder="1" applyAlignment="1">
      <alignment horizontal="center" vertical="top" wrapText="1"/>
    </xf>
    <xf numFmtId="10" fontId="8" fillId="4" borderId="4" xfId="0" applyNumberFormat="1" applyFont="1" applyFill="1" applyBorder="1" applyAlignment="1">
      <alignment horizontal="center" vertical="top" wrapText="1"/>
    </xf>
    <xf numFmtId="10" fontId="8" fillId="4" borderId="11" xfId="0" applyNumberFormat="1" applyFont="1" applyFill="1" applyBorder="1" applyAlignment="1">
      <alignment horizontal="center" vertical="top" wrapText="1"/>
    </xf>
    <xf numFmtId="0" fontId="2" fillId="0" borderId="1" xfId="0" applyFont="1" applyBorder="1" applyAlignment="1">
      <alignment horizontal="center" vertical="center" wrapText="1"/>
    </xf>
    <xf numFmtId="0" fontId="7" fillId="0" borderId="4" xfId="0" applyFont="1" applyBorder="1" applyAlignment="1">
      <alignment horizontal="center" vertical="center" wrapText="1"/>
    </xf>
    <xf numFmtId="10" fontId="7" fillId="0" borderId="4"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wrapText="1"/>
    </xf>
    <xf numFmtId="10" fontId="8" fillId="4" borderId="1" xfId="0" applyNumberFormat="1" applyFont="1" applyFill="1" applyBorder="1" applyAlignment="1">
      <alignment horizontal="center" vertical="center" wrapText="1"/>
    </xf>
    <xf numFmtId="0" fontId="2" fillId="0" borderId="0" xfId="0" applyFont="1"/>
    <xf numFmtId="167" fontId="24" fillId="0" borderId="1" xfId="0" applyNumberFormat="1" applyFont="1" applyBorder="1" applyAlignment="1">
      <alignment horizontal="left" vertical="center" wrapText="1"/>
    </xf>
    <xf numFmtId="0" fontId="24" fillId="0" borderId="1" xfId="5" applyFont="1" applyBorder="1" applyAlignment="1">
      <alignment horizontal="left" vertical="center" wrapText="1"/>
    </xf>
    <xf numFmtId="3" fontId="24" fillId="0" borderId="1" xfId="5" applyNumberFormat="1" applyFont="1" applyBorder="1" applyAlignment="1">
      <alignment horizontal="center" vertical="center"/>
    </xf>
    <xf numFmtId="0" fontId="24" fillId="0" borderId="1" xfId="0" applyFont="1" applyBorder="1" applyAlignment="1">
      <alignment horizontal="center" vertical="center"/>
    </xf>
    <xf numFmtId="173" fontId="17" fillId="7" borderId="1" xfId="8" applyNumberFormat="1" applyFont="1" applyFill="1" applyBorder="1" applyAlignment="1">
      <alignment horizontal="center" vertical="center" wrapText="1"/>
    </xf>
    <xf numFmtId="173" fontId="15" fillId="7" borderId="1" xfId="8" applyNumberFormat="1" applyFont="1" applyFill="1" applyBorder="1" applyAlignment="1">
      <alignment horizontal="center" vertical="center" wrapText="1"/>
    </xf>
    <xf numFmtId="173" fontId="17" fillId="0" borderId="1" xfId="8" applyNumberFormat="1" applyFont="1" applyFill="1" applyBorder="1" applyAlignment="1">
      <alignment horizontal="center" vertical="center" wrapText="1"/>
    </xf>
    <xf numFmtId="0" fontId="2" fillId="7" borderId="1" xfId="0" applyFont="1" applyFill="1" applyBorder="1" applyAlignment="1">
      <alignment horizontal="center" vertical="center" wrapText="1"/>
    </xf>
    <xf numFmtId="49" fontId="2" fillId="7" borderId="1" xfId="0" applyNumberFormat="1" applyFont="1" applyFill="1" applyBorder="1" applyAlignment="1">
      <alignment horizontal="center" vertical="center" wrapText="1"/>
    </xf>
    <xf numFmtId="172" fontId="2" fillId="7" borderId="1" xfId="0" applyNumberFormat="1" applyFont="1" applyFill="1" applyBorder="1" applyAlignment="1">
      <alignment horizontal="center" vertical="center" wrapText="1"/>
    </xf>
    <xf numFmtId="0" fontId="19" fillId="0" borderId="0" xfId="0" applyFont="1" applyAlignment="1">
      <alignment vertical="center"/>
    </xf>
    <xf numFmtId="0" fontId="2" fillId="10" borderId="1" xfId="8" applyFont="1" applyFill="1" applyBorder="1" applyAlignment="1">
      <alignment vertical="center" wrapText="1"/>
    </xf>
    <xf numFmtId="164" fontId="8" fillId="0" borderId="1" xfId="3" applyFont="1" applyBorder="1" applyAlignment="1" applyProtection="1">
      <alignment vertical="center"/>
    </xf>
    <xf numFmtId="0" fontId="7" fillId="0" borderId="1" xfId="0" applyFont="1" applyBorder="1" applyAlignment="1">
      <alignment horizontal="justify" vertical="center" wrapText="1"/>
    </xf>
    <xf numFmtId="2" fontId="8" fillId="4" borderId="1" xfId="1" applyNumberFormat="1" applyFont="1" applyFill="1" applyBorder="1" applyAlignment="1" applyProtection="1">
      <alignment horizontal="center" vertical="center"/>
    </xf>
    <xf numFmtId="14" fontId="2" fillId="7" borderId="1" xfId="6" applyNumberFormat="1" applyFill="1" applyBorder="1" applyAlignment="1">
      <alignment horizontal="center" vertical="center" wrapText="1"/>
    </xf>
    <xf numFmtId="0" fontId="27" fillId="0" borderId="1" xfId="8" applyFont="1" applyFill="1" applyBorder="1" applyAlignment="1">
      <alignment horizontal="center" vertical="center" wrapText="1"/>
    </xf>
    <xf numFmtId="173" fontId="27" fillId="0" borderId="1" xfId="8" applyNumberFormat="1" applyFont="1" applyFill="1" applyBorder="1" applyAlignment="1">
      <alignment horizontal="center" vertical="center" wrapText="1"/>
    </xf>
    <xf numFmtId="168" fontId="2" fillId="0" borderId="1" xfId="5" applyNumberFormat="1" applyFont="1" applyBorder="1" applyAlignment="1">
      <alignment horizontal="center" vertical="center"/>
    </xf>
    <xf numFmtId="3" fontId="2" fillId="0" borderId="1" xfId="5" applyNumberFormat="1" applyFont="1" applyBorder="1" applyAlignment="1">
      <alignment horizontal="center" vertical="center"/>
    </xf>
    <xf numFmtId="0" fontId="11" fillId="4"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6" fillId="3" borderId="1" xfId="0" applyFont="1" applyFill="1" applyBorder="1" applyAlignment="1">
      <alignment horizontal="center" vertical="center"/>
    </xf>
    <xf numFmtId="2" fontId="8" fillId="4" borderId="1" xfId="0" applyNumberFormat="1" applyFont="1" applyFill="1" applyBorder="1" applyAlignment="1">
      <alignment horizontal="center" vertical="center"/>
    </xf>
    <xf numFmtId="2" fontId="6" fillId="3" borderId="1" xfId="0" applyNumberFormat="1" applyFont="1" applyFill="1" applyBorder="1" applyAlignment="1">
      <alignment horizontal="center" vertical="center" wrapText="1"/>
    </xf>
    <xf numFmtId="2" fontId="11" fillId="3" borderId="1" xfId="0" applyNumberFormat="1" applyFont="1" applyFill="1" applyBorder="1" applyAlignment="1">
      <alignment horizontal="center" vertical="center"/>
    </xf>
    <xf numFmtId="2" fontId="8" fillId="4" borderId="1" xfId="0" applyNumberFormat="1" applyFont="1" applyFill="1" applyBorder="1" applyAlignment="1">
      <alignment horizontal="center" vertical="center" wrapText="1"/>
    </xf>
    <xf numFmtId="2" fontId="9"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xf>
    <xf numFmtId="165" fontId="7" fillId="0" borderId="1" xfId="0" applyNumberFormat="1" applyFont="1" applyBorder="1" applyAlignment="1">
      <alignment horizontal="center" vertical="center"/>
    </xf>
    <xf numFmtId="2" fontId="9" fillId="4" borderId="2" xfId="0" applyNumberFormat="1" applyFont="1" applyFill="1" applyBorder="1" applyAlignment="1">
      <alignment horizontal="center" vertical="center" wrapText="1"/>
    </xf>
    <xf numFmtId="2" fontId="9" fillId="4" borderId="4" xfId="0" applyNumberFormat="1" applyFont="1" applyFill="1" applyBorder="1" applyAlignment="1">
      <alignment horizontal="center" vertical="center" wrapText="1"/>
    </xf>
    <xf numFmtId="167" fontId="8" fillId="4" borderId="1" xfId="0" applyNumberFormat="1" applyFont="1" applyFill="1" applyBorder="1" applyAlignment="1">
      <alignment horizontal="center" vertical="center" wrapText="1"/>
    </xf>
    <xf numFmtId="4" fontId="8" fillId="0" borderId="2" xfId="5" applyNumberFormat="1" applyFont="1" applyBorder="1" applyAlignment="1">
      <alignment horizontal="center" vertical="center"/>
    </xf>
    <xf numFmtId="4" fontId="8" fillId="0" borderId="4" xfId="5" applyNumberFormat="1" applyFont="1" applyBorder="1" applyAlignment="1">
      <alignment horizontal="center" vertical="center"/>
    </xf>
    <xf numFmtId="164" fontId="8" fillId="0" borderId="1" xfId="3" applyFont="1" applyBorder="1" applyAlignment="1" applyProtection="1">
      <alignment horizontal="center" vertical="center"/>
    </xf>
    <xf numFmtId="3" fontId="24" fillId="0" borderId="1" xfId="5" applyNumberFormat="1" applyFont="1" applyBorder="1" applyAlignment="1">
      <alignment horizontal="center" vertical="center"/>
    </xf>
    <xf numFmtId="0" fontId="7" fillId="0" borderId="2" xfId="5" applyFont="1" applyBorder="1" applyAlignment="1">
      <alignment horizontal="center" vertical="center"/>
    </xf>
    <xf numFmtId="0" fontId="7" fillId="0" borderId="4" xfId="5" applyFont="1" applyBorder="1" applyAlignment="1">
      <alignment horizontal="center" vertical="center"/>
    </xf>
    <xf numFmtId="168" fontId="2" fillId="0" borderId="1" xfId="5" applyNumberFormat="1" applyFont="1" applyBorder="1" applyAlignment="1">
      <alignment horizontal="center" vertical="center"/>
    </xf>
    <xf numFmtId="168" fontId="8" fillId="0" borderId="1" xfId="5" applyNumberFormat="1" applyFont="1" applyBorder="1" applyAlignment="1">
      <alignment horizontal="center" vertical="center"/>
    </xf>
    <xf numFmtId="3" fontId="2" fillId="0" borderId="1" xfId="5" applyNumberFormat="1" applyFont="1" applyBorder="1" applyAlignment="1">
      <alignment horizontal="center" vertical="center"/>
    </xf>
    <xf numFmtId="3" fontId="8" fillId="0" borderId="1" xfId="5" applyNumberFormat="1" applyFont="1" applyBorder="1" applyAlignment="1">
      <alignment horizontal="center" vertical="center"/>
    </xf>
    <xf numFmtId="0" fontId="7" fillId="0" borderId="1" xfId="5" applyFont="1" applyBorder="1" applyAlignment="1">
      <alignment horizontal="center" vertical="center"/>
    </xf>
    <xf numFmtId="0" fontId="6" fillId="3" borderId="5" xfId="0" applyFont="1" applyFill="1" applyBorder="1" applyAlignment="1">
      <alignment horizontal="center" vertical="center" wrapText="1"/>
    </xf>
    <xf numFmtId="0" fontId="8" fillId="6" borderId="1" xfId="0" applyFont="1" applyFill="1" applyBorder="1" applyAlignment="1">
      <alignment horizontal="center" vertical="center"/>
    </xf>
    <xf numFmtId="165" fontId="7" fillId="0" borderId="1" xfId="5" applyNumberFormat="1" applyFont="1" applyBorder="1" applyAlignment="1">
      <alignment horizontal="left" vertical="center"/>
    </xf>
    <xf numFmtId="0" fontId="8" fillId="4" borderId="1" xfId="0" applyFont="1" applyFill="1" applyBorder="1" applyAlignment="1">
      <alignment horizontal="center" vertical="center"/>
    </xf>
    <xf numFmtId="4" fontId="8" fillId="4" borderId="1" xfId="0" applyNumberFormat="1" applyFont="1" applyFill="1" applyBorder="1" applyAlignment="1">
      <alignment horizontal="center" vertical="center"/>
    </xf>
    <xf numFmtId="0" fontId="9" fillId="3" borderId="1" xfId="0" applyFont="1" applyFill="1" applyBorder="1" applyAlignment="1">
      <alignment horizontal="center" vertical="center"/>
    </xf>
    <xf numFmtId="0" fontId="2" fillId="0" borderId="1" xfId="0" applyFont="1" applyBorder="1" applyAlignment="1">
      <alignment horizontal="left" vertical="center" wrapText="1"/>
    </xf>
    <xf numFmtId="0" fontId="8" fillId="3" borderId="1" xfId="0" applyFont="1" applyFill="1" applyBorder="1" applyAlignment="1">
      <alignment horizontal="center" vertical="center"/>
    </xf>
    <xf numFmtId="0" fontId="13" fillId="3" borderId="1" xfId="8" applyFont="1" applyFill="1" applyBorder="1" applyAlignment="1">
      <alignment horizontal="center" vertical="center" wrapText="1"/>
    </xf>
    <xf numFmtId="0" fontId="13" fillId="3" borderId="2" xfId="8" applyFont="1" applyFill="1" applyBorder="1" applyAlignment="1">
      <alignment horizontal="center" vertical="center" wrapText="1"/>
    </xf>
    <xf numFmtId="0" fontId="14" fillId="7" borderId="1" xfId="8" applyFont="1" applyFill="1" applyBorder="1" applyAlignment="1">
      <alignment horizontal="left" vertical="center" wrapText="1"/>
    </xf>
    <xf numFmtId="0" fontId="15" fillId="7" borderId="1" xfId="8" applyFont="1" applyFill="1" applyBorder="1" applyAlignment="1">
      <alignment horizontal="left" vertical="center" wrapText="1"/>
    </xf>
    <xf numFmtId="49" fontId="15" fillId="7" borderId="1" xfId="8" applyNumberFormat="1" applyFont="1" applyFill="1" applyBorder="1" applyAlignment="1">
      <alignment horizontal="left" vertical="center" wrapText="1"/>
    </xf>
    <xf numFmtId="0" fontId="15" fillId="0" borderId="1" xfId="8" applyFont="1" applyFill="1" applyBorder="1" applyAlignment="1">
      <alignment horizontal="left" vertical="center" wrapText="1"/>
    </xf>
    <xf numFmtId="165" fontId="16" fillId="0" borderId="1" xfId="8" applyNumberFormat="1" applyFont="1" applyFill="1" applyBorder="1" applyAlignment="1">
      <alignment horizontal="left" vertical="center"/>
    </xf>
    <xf numFmtId="169" fontId="15" fillId="7" borderId="1" xfId="8" applyNumberFormat="1" applyFont="1" applyFill="1" applyBorder="1" applyAlignment="1">
      <alignment horizontal="left" vertical="center" wrapText="1"/>
    </xf>
    <xf numFmtId="170" fontId="16" fillId="0" borderId="1" xfId="8" applyNumberFormat="1" applyFont="1" applyFill="1" applyBorder="1" applyAlignment="1">
      <alignment horizontal="left" vertical="center" wrapText="1"/>
    </xf>
    <xf numFmtId="0" fontId="27" fillId="0" borderId="0" xfId="6" applyFont="1" applyAlignment="1">
      <alignment horizontal="left" vertical="center" wrapText="1"/>
    </xf>
    <xf numFmtId="0" fontId="2" fillId="0" borderId="0" xfId="6" applyAlignment="1">
      <alignment horizontal="left" vertical="center" wrapText="1"/>
    </xf>
    <xf numFmtId="0" fontId="14" fillId="7" borderId="1" xfId="8" applyFont="1" applyFill="1" applyBorder="1" applyAlignment="1">
      <alignment horizontal="left" vertical="top" wrapText="1"/>
    </xf>
    <xf numFmtId="0" fontId="15" fillId="7" borderId="1" xfId="8" applyFont="1" applyFill="1" applyBorder="1" applyAlignment="1">
      <alignment horizontal="left" vertical="top" wrapText="1"/>
    </xf>
    <xf numFmtId="49" fontId="15" fillId="7" borderId="1" xfId="8" applyNumberFormat="1" applyFont="1" applyFill="1" applyBorder="1" applyAlignment="1">
      <alignment horizontal="left" vertical="top" wrapText="1"/>
    </xf>
    <xf numFmtId="0" fontId="27" fillId="0" borderId="1" xfId="0" applyFont="1" applyBorder="1" applyAlignment="1">
      <alignment vertical="center" wrapText="1"/>
    </xf>
    <xf numFmtId="0" fontId="28" fillId="0" borderId="1" xfId="0" applyFont="1" applyBorder="1" applyAlignment="1">
      <alignment vertical="center" wrapText="1"/>
    </xf>
    <xf numFmtId="165" fontId="16" fillId="7" borderId="1" xfId="8" applyNumberFormat="1" applyFont="1" applyFill="1" applyBorder="1" applyAlignment="1">
      <alignment horizontal="left" vertical="center"/>
    </xf>
    <xf numFmtId="0" fontId="19" fillId="0" borderId="0" xfId="0" applyFont="1" applyAlignment="1">
      <alignment horizontal="left" vertical="center" wrapText="1"/>
    </xf>
    <xf numFmtId="0" fontId="30" fillId="0" borderId="0" xfId="0" applyFont="1" applyAlignment="1">
      <alignment horizontal="left" vertical="center" wrapText="1"/>
    </xf>
    <xf numFmtId="0" fontId="0" fillId="0" borderId="0" xfId="0" applyAlignment="1">
      <alignment horizontal="left"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2" fillId="0" borderId="2" xfId="0" applyFont="1" applyBorder="1" applyAlignment="1">
      <alignment horizontal="left" vertical="center" wrapText="1"/>
    </xf>
    <xf numFmtId="0" fontId="22" fillId="0" borderId="3" xfId="0" applyFont="1" applyBorder="1" applyAlignment="1">
      <alignment horizontal="left" vertical="center" wrapText="1"/>
    </xf>
    <xf numFmtId="0" fontId="0" fillId="0" borderId="3" xfId="0"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center" vertical="center" wrapText="1"/>
    </xf>
    <xf numFmtId="0" fontId="9" fillId="4" borderId="1" xfId="0" applyFont="1" applyFill="1" applyBorder="1" applyAlignment="1">
      <alignment horizontal="left" vertical="center" wrapText="1"/>
    </xf>
    <xf numFmtId="0" fontId="7" fillId="0" borderId="1" xfId="0" applyFont="1" applyBorder="1" applyAlignment="1">
      <alignment horizontal="left" vertical="center" wrapText="1"/>
    </xf>
    <xf numFmtId="0" fontId="8" fillId="4" borderId="1" xfId="0" applyFont="1" applyFill="1" applyBorder="1" applyAlignment="1">
      <alignment horizontal="left" vertical="center" wrapText="1"/>
    </xf>
  </cellXfs>
  <cellStyles count="10">
    <cellStyle name="Moeda" xfId="1" builtinId="4"/>
    <cellStyle name="Moeda 2" xfId="3" xr:uid="{00000000-0005-0000-0000-000006000000}"/>
    <cellStyle name="Normal" xfId="0" builtinId="0"/>
    <cellStyle name="Normal 2" xfId="4" xr:uid="{00000000-0005-0000-0000-000007000000}"/>
    <cellStyle name="Normal 3" xfId="5" xr:uid="{00000000-0005-0000-0000-000008000000}"/>
    <cellStyle name="Normal 4" xfId="6" xr:uid="{00000000-0005-0000-0000-000009000000}"/>
    <cellStyle name="Porcentagem" xfId="2" builtinId="5"/>
    <cellStyle name="Porcentagem 2" xfId="7" xr:uid="{00000000-0005-0000-0000-00000A000000}"/>
    <cellStyle name="TableStyleLight1" xfId="8" xr:uid="{00000000-0005-0000-0000-00000B000000}"/>
    <cellStyle name="TableStyleLight1 2" xfId="9" xr:uid="{00000000-0005-0000-0000-00000C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2F2F2"/>
      <rgbColor rgb="FFEEEEEE"/>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EDEDED"/>
      <rgbColor rgb="FFCCFFCC"/>
      <rgbColor rgb="FFFFFF99"/>
      <rgbColor rgb="FF99CCFF"/>
      <rgbColor rgb="FFFF99CC"/>
      <rgbColor rgb="FFCC99FF"/>
      <rgbColor rgb="FFDCDADA"/>
      <rgbColor rgb="FF3366FF"/>
      <rgbColor rgb="FF33CCCC"/>
      <rgbColor rgb="FF99CC00"/>
      <rgbColor rgb="FFFFCC00"/>
      <rgbColor rgb="FFFF9900"/>
      <rgbColor rgb="FFFF6600"/>
      <rgbColor rgb="FF666699"/>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1579320</xdr:colOff>
      <xdr:row>1</xdr:row>
      <xdr:rowOff>97920</xdr:rowOff>
    </xdr:from>
    <xdr:to>
      <xdr:col>5</xdr:col>
      <xdr:colOff>47520</xdr:colOff>
      <xdr:row>1</xdr:row>
      <xdr:rowOff>1177200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2441160" y="288360"/>
          <a:ext cx="2641320" cy="107928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2095560</xdr:colOff>
      <xdr:row>1</xdr:row>
      <xdr:rowOff>207720</xdr:rowOff>
    </xdr:from>
    <xdr:to>
      <xdr:col>4</xdr:col>
      <xdr:colOff>381600</xdr:colOff>
      <xdr:row>1</xdr:row>
      <xdr:rowOff>1148400</xdr:rowOff>
    </xdr:to>
    <xdr:pic>
      <xdr:nvPicPr>
        <xdr:cNvPr id="3" name="Imagem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a:xfrm>
          <a:off x="2957400" y="398160"/>
          <a:ext cx="2023560" cy="9406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87840</xdr:colOff>
      <xdr:row>25</xdr:row>
      <xdr:rowOff>120600</xdr:rowOff>
    </xdr:from>
    <xdr:to>
      <xdr:col>2</xdr:col>
      <xdr:colOff>2299680</xdr:colOff>
      <xdr:row>29</xdr:row>
      <xdr:rowOff>87841</xdr:rowOff>
    </xdr:to>
    <xdr:pic>
      <xdr:nvPicPr>
        <xdr:cNvPr id="3" name="Figura 7">
          <a:extLst>
            <a:ext uri="{FF2B5EF4-FFF2-40B4-BE49-F238E27FC236}">
              <a16:creationId xmlns:a16="http://schemas.microsoft.com/office/drawing/2014/main" id="{00000000-0008-0000-0800-000003000000}"/>
            </a:ext>
          </a:extLst>
        </xdr:cNvPr>
        <xdr:cNvPicPr/>
      </xdr:nvPicPr>
      <xdr:blipFill>
        <a:blip xmlns:r="http://schemas.openxmlformats.org/officeDocument/2006/relationships" r:embed="rId1"/>
        <a:srcRect l="17768" t="51115" r="20992" b="38316"/>
        <a:stretch/>
      </xdr:blipFill>
      <xdr:spPr>
        <a:xfrm>
          <a:off x="495000" y="6730920"/>
          <a:ext cx="6453360" cy="69120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FF"/>
  </sheetPr>
  <dimension ref="B1:IT65541"/>
  <sheetViews>
    <sheetView showGridLines="0" tabSelected="1" zoomScaleNormal="100" workbookViewId="0">
      <selection activeCell="L9" sqref="L9"/>
    </sheetView>
  </sheetViews>
  <sheetFormatPr defaultColWidth="10.5" defaultRowHeight="14.25"/>
  <cols>
    <col min="1" max="1" width="5.625" customWidth="1"/>
    <col min="2" max="2" width="5.5" style="3" customWidth="1"/>
    <col min="3" max="3" width="42.125" style="3" customWidth="1"/>
    <col min="4" max="4" width="6.125" style="3" customWidth="1"/>
    <col min="5" max="5" width="5.625" style="3" customWidth="1"/>
    <col min="6" max="6" width="15.25" style="3" customWidth="1"/>
    <col min="7" max="7" width="20" style="3" customWidth="1"/>
    <col min="8" max="254" width="10.625" style="3" customWidth="1"/>
  </cols>
  <sheetData>
    <row r="1" spans="2:7" ht="15" customHeight="1"/>
    <row r="2" spans="2:7" ht="103.5" customHeight="1">
      <c r="B2" s="186"/>
      <c r="C2" s="186"/>
      <c r="D2" s="186"/>
      <c r="E2" s="186"/>
      <c r="F2" s="186"/>
      <c r="G2" s="186"/>
    </row>
    <row r="3" spans="2:7" ht="18" customHeight="1">
      <c r="B3" s="4"/>
      <c r="C3" s="4"/>
      <c r="D3" s="4"/>
      <c r="E3" s="4"/>
      <c r="F3" s="4"/>
      <c r="G3" s="4"/>
    </row>
    <row r="4" spans="2:7" ht="18" customHeight="1">
      <c r="B4" s="187" t="s">
        <v>288</v>
      </c>
      <c r="C4" s="187"/>
      <c r="D4" s="187"/>
      <c r="E4" s="187"/>
      <c r="F4" s="187"/>
      <c r="G4" s="187"/>
    </row>
    <row r="5" spans="2:7" ht="18" customHeight="1">
      <c r="B5" s="4"/>
      <c r="C5" s="4"/>
      <c r="D5" s="4"/>
      <c r="E5" s="4"/>
      <c r="F5" s="4"/>
      <c r="G5" s="4"/>
    </row>
    <row r="6" spans="2:7" ht="19.5" customHeight="1">
      <c r="B6" s="188" t="s">
        <v>0</v>
      </c>
      <c r="C6" s="188"/>
      <c r="D6" s="188"/>
      <c r="E6" s="188"/>
      <c r="F6" s="188"/>
      <c r="G6" s="188"/>
    </row>
    <row r="7" spans="2:7" ht="19.5" customHeight="1">
      <c r="B7" s="189" t="s">
        <v>1</v>
      </c>
      <c r="C7" s="189"/>
      <c r="D7" s="189"/>
      <c r="E7" s="189"/>
      <c r="F7" s="189"/>
      <c r="G7" s="189"/>
    </row>
    <row r="8" spans="2:7" ht="19.5" customHeight="1">
      <c r="B8" s="190" t="s">
        <v>2</v>
      </c>
      <c r="C8" s="190"/>
      <c r="D8" s="190"/>
      <c r="E8" s="190"/>
      <c r="F8" s="190"/>
      <c r="G8" s="190"/>
    </row>
    <row r="9" spans="2:7" ht="15.75" customHeight="1">
      <c r="B9" s="4"/>
      <c r="C9" s="4"/>
      <c r="D9" s="4"/>
      <c r="E9" s="4"/>
      <c r="F9" s="4"/>
      <c r="G9" s="4"/>
    </row>
    <row r="10" spans="2:7" ht="42" customHeight="1">
      <c r="B10" s="5" t="s">
        <v>3</v>
      </c>
      <c r="C10" s="5" t="s">
        <v>4</v>
      </c>
      <c r="D10" s="5" t="s">
        <v>5</v>
      </c>
      <c r="E10" s="5" t="s">
        <v>6</v>
      </c>
      <c r="F10" s="5" t="s">
        <v>7</v>
      </c>
      <c r="G10" s="5" t="s">
        <v>8</v>
      </c>
    </row>
    <row r="11" spans="2:7" ht="81" customHeight="1">
      <c r="B11" s="6">
        <v>3</v>
      </c>
      <c r="C11" s="7" t="s">
        <v>9</v>
      </c>
      <c r="D11" s="8" t="s">
        <v>10</v>
      </c>
      <c r="E11" s="8">
        <v>24</v>
      </c>
      <c r="F11" s="9">
        <f>ROUND(Resumo!H6,2)</f>
        <v>117688.67</v>
      </c>
      <c r="G11" s="10">
        <f>F11*E11</f>
        <v>2824528.08</v>
      </c>
    </row>
    <row r="12" spans="2:7" ht="42" customHeight="1">
      <c r="B12" s="185" t="s">
        <v>299</v>
      </c>
      <c r="C12" s="185"/>
      <c r="D12" s="185"/>
      <c r="E12" s="185"/>
      <c r="F12" s="185"/>
      <c r="G12" s="185"/>
    </row>
    <row r="65541" ht="12.75" customHeight="1"/>
  </sheetData>
  <mergeCells count="6">
    <mergeCell ref="B12:G12"/>
    <mergeCell ref="B2:G2"/>
    <mergeCell ref="B4:G4"/>
    <mergeCell ref="B6:G6"/>
    <mergeCell ref="B7:G7"/>
    <mergeCell ref="B8:G8"/>
  </mergeCells>
  <printOptions horizontalCentered="1"/>
  <pageMargins left="0.78749999999999998" right="0.78749999999999998" top="0.196527777777778" bottom="0.196527777777778" header="0.511811023622047" footer="0.511811023622047"/>
  <pageSetup paperSize="9" pageOrder="overThenDown" orientation="portrait" useFirstPageNumber="1"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B1:K22"/>
  <sheetViews>
    <sheetView zoomScaleNormal="100" workbookViewId="0">
      <selection activeCell="O8" sqref="O8"/>
    </sheetView>
  </sheetViews>
  <sheetFormatPr defaultColWidth="8.625" defaultRowHeight="14.25"/>
  <cols>
    <col min="1" max="1" width="5.25" customWidth="1"/>
    <col min="2" max="2" width="3" customWidth="1"/>
    <col min="3" max="3" width="16.5" customWidth="1"/>
    <col min="4" max="4" width="55.875" customWidth="1"/>
    <col min="5" max="5" width="11.625" customWidth="1"/>
    <col min="6" max="6" width="10" customWidth="1"/>
    <col min="7" max="7" width="13.75" customWidth="1"/>
    <col min="8" max="8" width="12" customWidth="1"/>
    <col min="9" max="9" width="14.125" customWidth="1"/>
  </cols>
  <sheetData>
    <row r="1" spans="2:11" ht="15" customHeight="1"/>
    <row r="2" spans="2:11" ht="24.95" customHeight="1">
      <c r="B2" s="224" t="s">
        <v>210</v>
      </c>
      <c r="C2" s="224"/>
      <c r="D2" s="224"/>
      <c r="E2" s="224"/>
      <c r="F2" s="224"/>
      <c r="G2" s="224"/>
      <c r="H2" s="224"/>
      <c r="I2" s="224"/>
    </row>
    <row r="3" spans="2:11" ht="19.5" customHeight="1"/>
    <row r="4" spans="2:11" ht="16.5" customHeight="1">
      <c r="B4" s="225" t="s">
        <v>211</v>
      </c>
      <c r="C4" s="225"/>
      <c r="D4" s="225"/>
      <c r="E4" s="225"/>
      <c r="F4" s="225"/>
      <c r="G4" s="225"/>
      <c r="H4" s="225"/>
      <c r="I4" s="225"/>
    </row>
    <row r="5" spans="2:11" ht="16.5" customHeight="1">
      <c r="B5" s="226" t="s">
        <v>141</v>
      </c>
      <c r="C5" s="226"/>
      <c r="D5" s="227">
        <v>88264</v>
      </c>
      <c r="E5" s="227"/>
      <c r="F5" s="227"/>
      <c r="G5" s="227"/>
      <c r="H5" s="227"/>
      <c r="I5" s="227"/>
    </row>
    <row r="6" spans="2:11" ht="16.5" customHeight="1">
      <c r="B6" s="226" t="s">
        <v>123</v>
      </c>
      <c r="C6" s="226"/>
      <c r="D6" s="227" t="s">
        <v>212</v>
      </c>
      <c r="E6" s="227"/>
      <c r="F6" s="227"/>
      <c r="G6" s="227"/>
      <c r="H6" s="227"/>
      <c r="I6" s="227"/>
    </row>
    <row r="7" spans="2:11" ht="16.5" customHeight="1">
      <c r="B7" s="226" t="s">
        <v>144</v>
      </c>
      <c r="C7" s="226"/>
      <c r="D7" s="228" t="s">
        <v>282</v>
      </c>
      <c r="E7" s="228"/>
      <c r="F7" s="228"/>
      <c r="G7" s="228"/>
      <c r="H7" s="228"/>
      <c r="I7" s="228"/>
    </row>
    <row r="8" spans="2:11" ht="16.5" customHeight="1">
      <c r="B8" s="226" t="s">
        <v>145</v>
      </c>
      <c r="C8" s="226"/>
      <c r="D8" s="227" t="s">
        <v>146</v>
      </c>
      <c r="E8" s="227"/>
      <c r="F8" s="227"/>
      <c r="G8" s="227"/>
      <c r="H8" s="227"/>
      <c r="I8" s="227"/>
    </row>
    <row r="9" spans="2:11" ht="16.5" customHeight="1">
      <c r="B9" s="226" t="s">
        <v>147</v>
      </c>
      <c r="C9" s="226"/>
      <c r="D9" s="227" t="s">
        <v>284</v>
      </c>
      <c r="E9" s="227"/>
      <c r="F9" s="227"/>
      <c r="G9" s="227"/>
      <c r="H9" s="227"/>
      <c r="I9" s="227"/>
    </row>
    <row r="10" spans="2:11" ht="16.5" customHeight="1">
      <c r="B10" s="226" t="s">
        <v>124</v>
      </c>
      <c r="C10" s="226"/>
      <c r="D10" s="227" t="s">
        <v>153</v>
      </c>
      <c r="E10" s="227"/>
      <c r="F10" s="227"/>
      <c r="G10" s="227"/>
      <c r="H10" s="227"/>
      <c r="I10" s="227"/>
    </row>
    <row r="11" spans="2:11" ht="16.5" customHeight="1">
      <c r="B11" s="226" t="s">
        <v>125</v>
      </c>
      <c r="C11" s="226"/>
      <c r="D11" s="230">
        <f>SUM(I14:I22)</f>
        <v>26.429286000000001</v>
      </c>
      <c r="E11" s="230"/>
      <c r="F11" s="230"/>
      <c r="G11" s="230"/>
      <c r="H11" s="230"/>
      <c r="I11" s="230"/>
    </row>
    <row r="12" spans="2:11" ht="15.75" customHeight="1">
      <c r="B12" s="102"/>
      <c r="C12" s="102"/>
      <c r="D12" s="103"/>
      <c r="E12" s="103"/>
      <c r="F12" s="103"/>
      <c r="G12" s="103"/>
      <c r="H12" s="103"/>
      <c r="I12" s="103"/>
    </row>
    <row r="13" spans="2:11" ht="29.25" customHeight="1">
      <c r="B13" s="104"/>
      <c r="C13" s="104" t="s">
        <v>148</v>
      </c>
      <c r="D13" s="104" t="s">
        <v>123</v>
      </c>
      <c r="E13" s="104" t="s">
        <v>147</v>
      </c>
      <c r="F13" s="104" t="s">
        <v>124</v>
      </c>
      <c r="G13" s="104" t="s">
        <v>287</v>
      </c>
      <c r="H13" s="104" t="s">
        <v>149</v>
      </c>
      <c r="I13" s="104" t="s">
        <v>125</v>
      </c>
    </row>
    <row r="14" spans="2:11" ht="38.25">
      <c r="B14" s="105" t="s">
        <v>150</v>
      </c>
      <c r="C14" s="105">
        <v>95332</v>
      </c>
      <c r="D14" s="105" t="s">
        <v>213</v>
      </c>
      <c r="E14" s="105" t="s">
        <v>284</v>
      </c>
      <c r="F14" s="105" t="s">
        <v>153</v>
      </c>
      <c r="G14" s="169">
        <v>0.76</v>
      </c>
      <c r="H14" s="107">
        <v>1</v>
      </c>
      <c r="I14" s="123">
        <f t="shared" ref="I14:I22" si="0">G14*H14</f>
        <v>0.76</v>
      </c>
      <c r="J14" s="136"/>
      <c r="K14" s="136"/>
    </row>
    <row r="15" spans="2:11">
      <c r="B15" s="105" t="s">
        <v>182</v>
      </c>
      <c r="C15" s="105" t="s">
        <v>283</v>
      </c>
      <c r="D15" s="105" t="s">
        <v>214</v>
      </c>
      <c r="E15" s="105" t="s">
        <v>184</v>
      </c>
      <c r="F15" s="105" t="s">
        <v>153</v>
      </c>
      <c r="G15" s="169">
        <f>'Custo Oficial de Manutenção'!C18</f>
        <v>19.269286000000001</v>
      </c>
      <c r="H15" s="107">
        <v>1</v>
      </c>
      <c r="I15" s="123">
        <f t="shared" si="0"/>
        <v>19.269286000000001</v>
      </c>
      <c r="J15" s="136"/>
      <c r="K15" s="136"/>
    </row>
    <row r="16" spans="2:11" ht="25.5">
      <c r="B16" s="105" t="s">
        <v>182</v>
      </c>
      <c r="C16" s="105">
        <v>37370</v>
      </c>
      <c r="D16" s="105" t="s">
        <v>215</v>
      </c>
      <c r="E16" s="105" t="s">
        <v>285</v>
      </c>
      <c r="F16" s="105" t="s">
        <v>153</v>
      </c>
      <c r="G16" s="169">
        <v>1.46</v>
      </c>
      <c r="H16" s="107">
        <v>1</v>
      </c>
      <c r="I16" s="123">
        <f t="shared" si="0"/>
        <v>1.46</v>
      </c>
      <c r="J16" s="136"/>
      <c r="K16" s="136"/>
    </row>
    <row r="17" spans="2:11" ht="25.5">
      <c r="B17" s="105" t="s">
        <v>182</v>
      </c>
      <c r="C17" s="105">
        <v>37371</v>
      </c>
      <c r="D17" s="105" t="s">
        <v>216</v>
      </c>
      <c r="E17" s="105" t="s">
        <v>285</v>
      </c>
      <c r="F17" s="105" t="s">
        <v>153</v>
      </c>
      <c r="G17" s="169">
        <v>1</v>
      </c>
      <c r="H17" s="107">
        <v>1</v>
      </c>
      <c r="I17" s="123">
        <f t="shared" si="0"/>
        <v>1</v>
      </c>
      <c r="J17" s="136"/>
      <c r="K17" s="136"/>
    </row>
    <row r="18" spans="2:11" ht="25.5">
      <c r="B18" s="105" t="s">
        <v>182</v>
      </c>
      <c r="C18" s="105">
        <v>37372</v>
      </c>
      <c r="D18" s="105" t="s">
        <v>186</v>
      </c>
      <c r="E18" s="105" t="s">
        <v>285</v>
      </c>
      <c r="F18" s="105" t="s">
        <v>153</v>
      </c>
      <c r="G18" s="169">
        <v>1.43</v>
      </c>
      <c r="H18" s="107">
        <v>1</v>
      </c>
      <c r="I18" s="123">
        <f t="shared" si="0"/>
        <v>1.43</v>
      </c>
      <c r="J18" s="136"/>
      <c r="K18" s="136"/>
    </row>
    <row r="19" spans="2:11" ht="25.5">
      <c r="B19" s="105" t="s">
        <v>182</v>
      </c>
      <c r="C19" s="105">
        <v>37373</v>
      </c>
      <c r="D19" s="105" t="s">
        <v>188</v>
      </c>
      <c r="E19" s="105" t="s">
        <v>285</v>
      </c>
      <c r="F19" s="105" t="s">
        <v>153</v>
      </c>
      <c r="G19" s="169">
        <v>0.08</v>
      </c>
      <c r="H19" s="107">
        <v>1</v>
      </c>
      <c r="I19" s="123">
        <f t="shared" si="0"/>
        <v>0.08</v>
      </c>
      <c r="J19" s="136"/>
      <c r="K19" s="136"/>
    </row>
    <row r="20" spans="2:11" ht="25.5">
      <c r="B20" s="105" t="s">
        <v>182</v>
      </c>
      <c r="C20" s="105">
        <v>43460</v>
      </c>
      <c r="D20" s="105" t="s">
        <v>217</v>
      </c>
      <c r="E20" s="105" t="s">
        <v>285</v>
      </c>
      <c r="F20" s="105" t="s">
        <v>153</v>
      </c>
      <c r="G20" s="169">
        <v>0.86</v>
      </c>
      <c r="H20" s="107">
        <v>1</v>
      </c>
      <c r="I20" s="123">
        <f t="shared" si="0"/>
        <v>0.86</v>
      </c>
      <c r="J20" s="136"/>
      <c r="K20" s="136"/>
    </row>
    <row r="21" spans="2:11" s="137" customFormat="1" ht="25.5">
      <c r="B21" s="138" t="s">
        <v>182</v>
      </c>
      <c r="C21" s="138">
        <v>43461</v>
      </c>
      <c r="D21" s="138" t="s">
        <v>218</v>
      </c>
      <c r="E21" s="105" t="s">
        <v>285</v>
      </c>
      <c r="F21" s="138" t="s">
        <v>153</v>
      </c>
      <c r="G21" s="170">
        <v>0.31</v>
      </c>
      <c r="H21" s="139">
        <v>1</v>
      </c>
      <c r="I21" s="140">
        <f t="shared" si="0"/>
        <v>0.31</v>
      </c>
      <c r="J21" s="141"/>
      <c r="K21" s="141"/>
    </row>
    <row r="22" spans="2:11" ht="25.5">
      <c r="B22" s="105" t="s">
        <v>182</v>
      </c>
      <c r="C22" s="105">
        <v>43484</v>
      </c>
      <c r="D22" s="105" t="s">
        <v>219</v>
      </c>
      <c r="E22" s="105" t="s">
        <v>285</v>
      </c>
      <c r="F22" s="105" t="s">
        <v>153</v>
      </c>
      <c r="G22" s="169">
        <v>1.26</v>
      </c>
      <c r="H22" s="107">
        <v>1</v>
      </c>
      <c r="I22" s="123">
        <f t="shared" si="0"/>
        <v>1.26</v>
      </c>
      <c r="J22" s="136"/>
      <c r="K22" s="136"/>
    </row>
  </sheetData>
  <mergeCells count="16">
    <mergeCell ref="B10:C10"/>
    <mergeCell ref="D10:I10"/>
    <mergeCell ref="B11:C11"/>
    <mergeCell ref="D11:I11"/>
    <mergeCell ref="B7:C7"/>
    <mergeCell ref="D7:I7"/>
    <mergeCell ref="B8:C8"/>
    <mergeCell ref="D8:I8"/>
    <mergeCell ref="B9:C9"/>
    <mergeCell ref="D9:I9"/>
    <mergeCell ref="B2:I2"/>
    <mergeCell ref="B4:I4"/>
    <mergeCell ref="B5:C5"/>
    <mergeCell ref="D5:I5"/>
    <mergeCell ref="B6:C6"/>
    <mergeCell ref="D6:I6"/>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B1:IY23"/>
  <sheetViews>
    <sheetView showGridLines="0" zoomScaleNormal="100" workbookViewId="0">
      <selection activeCell="P8" sqref="P8"/>
    </sheetView>
  </sheetViews>
  <sheetFormatPr defaultColWidth="10.375" defaultRowHeight="14.25"/>
  <cols>
    <col min="1" max="1" width="5.625" customWidth="1"/>
    <col min="2" max="2" width="15.5" style="11" customWidth="1"/>
    <col min="3" max="3" width="16.25" style="12" customWidth="1"/>
    <col min="4" max="4" width="32" style="11" customWidth="1"/>
    <col min="5" max="5" width="36.875" style="11" customWidth="1"/>
    <col min="6" max="6" width="15.25" style="12" customWidth="1"/>
    <col min="7" max="7" width="9" style="11" customWidth="1"/>
    <col min="8" max="8" width="9.125" style="11" customWidth="1"/>
    <col min="9" max="9" width="12" style="11" customWidth="1"/>
    <col min="10" max="11" width="11.25" style="11" customWidth="1"/>
    <col min="12" max="12" width="10.375" style="11"/>
    <col min="13" max="13" width="10.5" style="11" customWidth="1"/>
    <col min="14" max="14" width="12.5" style="11" customWidth="1"/>
    <col min="15" max="259" width="10.5" style="11" customWidth="1"/>
  </cols>
  <sheetData>
    <row r="1" spans="2:14" ht="15" customHeight="1"/>
    <row r="2" spans="2:14" s="142" customFormat="1" ht="29.25" customHeight="1">
      <c r="B2" s="244" t="str">
        <f>"RELAÇÃO DE UNIDADES DO "&amp;'Valor da Contratação'!B7&amp;""</f>
        <v>RELAÇÃO DE UNIDADES DO POLO IX</v>
      </c>
      <c r="C2" s="244"/>
      <c r="D2" s="244"/>
      <c r="E2" s="244"/>
      <c r="F2" s="244"/>
      <c r="G2" s="244"/>
      <c r="H2" s="244"/>
      <c r="I2" s="244"/>
      <c r="J2" s="244"/>
      <c r="K2" s="244"/>
      <c r="L2" s="244"/>
      <c r="M2" s="244"/>
      <c r="N2" s="244"/>
    </row>
    <row r="3" spans="2:14" s="11" customFormat="1" ht="15" customHeight="1"/>
    <row r="4" spans="2:14" ht="66.75" customHeight="1">
      <c r="B4" s="2" t="s">
        <v>220</v>
      </c>
      <c r="C4" s="2" t="s">
        <v>11</v>
      </c>
      <c r="D4" s="2" t="s">
        <v>37</v>
      </c>
      <c r="E4" s="2" t="s">
        <v>221</v>
      </c>
      <c r="F4" s="2" t="s">
        <v>222</v>
      </c>
      <c r="G4" s="2" t="s">
        <v>223</v>
      </c>
      <c r="H4" s="2" t="s">
        <v>67</v>
      </c>
      <c r="I4" s="2" t="s">
        <v>224</v>
      </c>
      <c r="J4" s="2" t="s">
        <v>225</v>
      </c>
      <c r="K4" s="2" t="s">
        <v>226</v>
      </c>
      <c r="L4" s="2" t="s">
        <v>227</v>
      </c>
      <c r="M4" s="2" t="s">
        <v>228</v>
      </c>
      <c r="N4" s="2" t="s">
        <v>229</v>
      </c>
    </row>
    <row r="5" spans="2:14" ht="18" customHeight="1">
      <c r="B5" s="143" t="s">
        <v>230</v>
      </c>
      <c r="C5" s="143" t="s">
        <v>19</v>
      </c>
      <c r="D5" s="48" t="s">
        <v>77</v>
      </c>
      <c r="E5" s="144" t="s">
        <v>231</v>
      </c>
      <c r="F5" s="50">
        <v>3.7</v>
      </c>
      <c r="G5" s="145">
        <v>0.03</v>
      </c>
      <c r="H5" s="145">
        <f>HLOOKUP(G5,BDI!$C$19:$I$30,12,)</f>
        <v>0.28489999999999999</v>
      </c>
      <c r="I5" s="68">
        <v>368.32</v>
      </c>
      <c r="J5" s="68">
        <v>280.32</v>
      </c>
      <c r="K5" s="68">
        <v>88</v>
      </c>
      <c r="L5" s="68">
        <v>0</v>
      </c>
      <c r="M5" s="68" t="s">
        <v>232</v>
      </c>
      <c r="N5" s="68" t="s">
        <v>232</v>
      </c>
    </row>
    <row r="6" spans="2:14" ht="18" customHeight="1">
      <c r="B6" s="143" t="s">
        <v>230</v>
      </c>
      <c r="C6" s="143" t="s">
        <v>19</v>
      </c>
      <c r="D6" s="48" t="s">
        <v>79</v>
      </c>
      <c r="E6" s="176" t="s">
        <v>233</v>
      </c>
      <c r="F6" s="50">
        <v>5.0666666666666664</v>
      </c>
      <c r="G6" s="145">
        <v>0.02</v>
      </c>
      <c r="H6" s="145">
        <f>HLOOKUP(G6,BDI!$C$19:$I$30,12,)</f>
        <v>0.2707</v>
      </c>
      <c r="I6" s="68">
        <v>2205.75</v>
      </c>
      <c r="J6" s="68">
        <v>735.25</v>
      </c>
      <c r="K6" s="68">
        <v>735.25</v>
      </c>
      <c r="L6" s="68">
        <v>735.25</v>
      </c>
      <c r="M6" s="68" t="s">
        <v>232</v>
      </c>
      <c r="N6" s="68" t="s">
        <v>232</v>
      </c>
    </row>
    <row r="7" spans="2:14" ht="18" customHeight="1">
      <c r="B7" s="143" t="s">
        <v>230</v>
      </c>
      <c r="C7" s="143" t="s">
        <v>19</v>
      </c>
      <c r="D7" s="48" t="s">
        <v>81</v>
      </c>
      <c r="E7" s="176" t="s">
        <v>234</v>
      </c>
      <c r="F7" s="50">
        <v>4.25</v>
      </c>
      <c r="G7" s="145">
        <v>0.03</v>
      </c>
      <c r="H7" s="145">
        <f>HLOOKUP(G7,BDI!$C$19:$I$30,12,)</f>
        <v>0.28489999999999999</v>
      </c>
      <c r="I7" s="68">
        <v>824.48</v>
      </c>
      <c r="J7" s="68">
        <v>416.95</v>
      </c>
      <c r="K7" s="68">
        <v>407.53</v>
      </c>
      <c r="L7" s="68">
        <v>0</v>
      </c>
      <c r="M7" s="68" t="s">
        <v>232</v>
      </c>
      <c r="N7" s="68" t="s">
        <v>235</v>
      </c>
    </row>
    <row r="8" spans="2:14" ht="18" customHeight="1">
      <c r="B8" s="143" t="s">
        <v>19</v>
      </c>
      <c r="C8" s="143" t="s">
        <v>19</v>
      </c>
      <c r="D8" s="48" t="s">
        <v>82</v>
      </c>
      <c r="E8" s="144" t="s">
        <v>236</v>
      </c>
      <c r="F8" s="50">
        <v>1.6833333333333333</v>
      </c>
      <c r="G8" s="145">
        <v>0.03</v>
      </c>
      <c r="H8" s="145">
        <f>HLOOKUP(G8,BDI!$C$19:$I$30,12,)</f>
        <v>0.28489999999999999</v>
      </c>
      <c r="I8" s="68">
        <v>2634.28</v>
      </c>
      <c r="J8" s="68">
        <v>991.45</v>
      </c>
      <c r="K8" s="68">
        <v>971.83</v>
      </c>
      <c r="L8" s="68">
        <v>671</v>
      </c>
      <c r="M8" s="68" t="s">
        <v>235</v>
      </c>
      <c r="N8" s="68" t="s">
        <v>235</v>
      </c>
    </row>
    <row r="9" spans="2:14" ht="18" customHeight="1">
      <c r="B9" s="143" t="s">
        <v>19</v>
      </c>
      <c r="C9" s="143" t="s">
        <v>19</v>
      </c>
      <c r="D9" s="48" t="s">
        <v>83</v>
      </c>
      <c r="E9" s="144" t="s">
        <v>237</v>
      </c>
      <c r="F9" s="50">
        <v>2.1833333333333331</v>
      </c>
      <c r="G9" s="145">
        <v>0.02</v>
      </c>
      <c r="H9" s="145">
        <f>HLOOKUP(G9,BDI!$C$19:$I$30,12,)</f>
        <v>0.2707</v>
      </c>
      <c r="I9" s="68">
        <v>548.83000000000004</v>
      </c>
      <c r="J9" s="68">
        <v>421.87</v>
      </c>
      <c r="K9" s="68">
        <v>126.96</v>
      </c>
      <c r="L9" s="68">
        <v>0</v>
      </c>
      <c r="M9" s="68" t="s">
        <v>232</v>
      </c>
      <c r="N9" s="68" t="s">
        <v>235</v>
      </c>
    </row>
    <row r="10" spans="2:14" ht="18" customHeight="1">
      <c r="B10" s="143" t="s">
        <v>19</v>
      </c>
      <c r="C10" s="143" t="s">
        <v>19</v>
      </c>
      <c r="D10" s="48" t="s">
        <v>85</v>
      </c>
      <c r="E10" s="144" t="s">
        <v>238</v>
      </c>
      <c r="F10" s="50">
        <v>2.6666666666666665</v>
      </c>
      <c r="G10" s="145">
        <v>0.05</v>
      </c>
      <c r="H10" s="145">
        <f>HLOOKUP(G10,BDI!$C$19:$I$30,12,)</f>
        <v>0.31419999999999998</v>
      </c>
      <c r="I10" s="68">
        <v>2708.27</v>
      </c>
      <c r="J10" s="68">
        <v>1355.18</v>
      </c>
      <c r="K10" s="68">
        <v>1078.3</v>
      </c>
      <c r="L10" s="68">
        <v>274.79000000000002</v>
      </c>
      <c r="M10" s="68" t="s">
        <v>232</v>
      </c>
      <c r="N10" s="68" t="s">
        <v>235</v>
      </c>
    </row>
    <row r="11" spans="2:14" ht="18" customHeight="1">
      <c r="B11" s="143" t="s">
        <v>19</v>
      </c>
      <c r="C11" s="143" t="s">
        <v>19</v>
      </c>
      <c r="D11" s="48" t="s">
        <v>86</v>
      </c>
      <c r="E11" s="144" t="s">
        <v>239</v>
      </c>
      <c r="F11" s="50">
        <v>2.35</v>
      </c>
      <c r="G11" s="145">
        <v>0.04</v>
      </c>
      <c r="H11" s="145">
        <f>HLOOKUP(G11,BDI!$C$19:$I$30,12,)</f>
        <v>0.2994</v>
      </c>
      <c r="I11" s="68">
        <v>798.65</v>
      </c>
      <c r="J11" s="68">
        <v>287.86</v>
      </c>
      <c r="K11" s="68">
        <v>55.73</v>
      </c>
      <c r="L11" s="68">
        <v>455.06</v>
      </c>
      <c r="M11" s="68" t="s">
        <v>232</v>
      </c>
      <c r="N11" s="68" t="s">
        <v>232</v>
      </c>
    </row>
    <row r="12" spans="2:14" ht="18" customHeight="1">
      <c r="B12" s="143" t="s">
        <v>19</v>
      </c>
      <c r="C12" s="143" t="s">
        <v>19</v>
      </c>
      <c r="D12" s="48" t="s">
        <v>88</v>
      </c>
      <c r="E12" s="144" t="s">
        <v>240</v>
      </c>
      <c r="F12" s="50">
        <v>1.6333333333333333</v>
      </c>
      <c r="G12" s="145">
        <v>0.03</v>
      </c>
      <c r="H12" s="145">
        <f>HLOOKUP(G12,BDI!$C$19:$I$30,12,)</f>
        <v>0.28489999999999999</v>
      </c>
      <c r="I12" s="68">
        <v>334.4</v>
      </c>
      <c r="J12" s="68">
        <v>296</v>
      </c>
      <c r="K12" s="68">
        <v>38.4</v>
      </c>
      <c r="L12" s="68">
        <v>0</v>
      </c>
      <c r="M12" s="68" t="s">
        <v>232</v>
      </c>
      <c r="N12" s="68" t="s">
        <v>232</v>
      </c>
    </row>
    <row r="13" spans="2:14" ht="18" customHeight="1">
      <c r="B13" s="143" t="s">
        <v>19</v>
      </c>
      <c r="C13" s="143" t="s">
        <v>19</v>
      </c>
      <c r="D13" s="48" t="s">
        <v>89</v>
      </c>
      <c r="E13" s="144" t="s">
        <v>241</v>
      </c>
      <c r="F13" s="50">
        <v>3.3666666666666667</v>
      </c>
      <c r="G13" s="145">
        <v>0.02</v>
      </c>
      <c r="H13" s="145">
        <f>HLOOKUP(G13,BDI!$C$19:$I$30,12,)</f>
        <v>0.2707</v>
      </c>
      <c r="I13" s="68">
        <v>1100.01</v>
      </c>
      <c r="J13" s="68">
        <v>369.82</v>
      </c>
      <c r="K13" s="68">
        <v>462.06</v>
      </c>
      <c r="L13" s="68">
        <v>268.13</v>
      </c>
      <c r="M13" s="68" t="s">
        <v>235</v>
      </c>
      <c r="N13" s="68" t="s">
        <v>232</v>
      </c>
    </row>
    <row r="14" spans="2:14" ht="18" customHeight="1">
      <c r="B14" s="143" t="s">
        <v>19</v>
      </c>
      <c r="C14" s="143" t="s">
        <v>19</v>
      </c>
      <c r="D14" s="48" t="s">
        <v>91</v>
      </c>
      <c r="E14" s="144" t="s">
        <v>242</v>
      </c>
      <c r="F14" s="50">
        <v>2.9166666666666665</v>
      </c>
      <c r="G14" s="145">
        <v>0.03</v>
      </c>
      <c r="H14" s="145">
        <f>HLOOKUP(G14,BDI!$C$19:$I$30,12,)</f>
        <v>0.28489999999999999</v>
      </c>
      <c r="I14" s="68">
        <v>1798.01</v>
      </c>
      <c r="J14" s="68">
        <v>530.66</v>
      </c>
      <c r="K14" s="68">
        <v>728.84</v>
      </c>
      <c r="L14" s="68">
        <v>538.51</v>
      </c>
      <c r="M14" s="68" t="s">
        <v>232</v>
      </c>
      <c r="N14" s="68" t="s">
        <v>232</v>
      </c>
    </row>
    <row r="15" spans="2:14" ht="18" customHeight="1">
      <c r="B15" s="143" t="s">
        <v>19</v>
      </c>
      <c r="C15" s="143" t="s">
        <v>19</v>
      </c>
      <c r="D15" s="48" t="s">
        <v>92</v>
      </c>
      <c r="E15" s="144" t="s">
        <v>243</v>
      </c>
      <c r="F15" s="50">
        <v>1.3166666666666667</v>
      </c>
      <c r="G15" s="145">
        <v>0.03</v>
      </c>
      <c r="H15" s="145">
        <f>HLOOKUP(G15,BDI!$C$19:$I$30,12,)</f>
        <v>0.28489999999999999</v>
      </c>
      <c r="I15" s="68">
        <v>321.99</v>
      </c>
      <c r="J15" s="68">
        <v>317.68</v>
      </c>
      <c r="K15" s="68">
        <v>4.3099999999999996</v>
      </c>
      <c r="L15" s="68">
        <v>0</v>
      </c>
      <c r="M15" s="68" t="s">
        <v>232</v>
      </c>
      <c r="N15" s="68" t="s">
        <v>235</v>
      </c>
    </row>
    <row r="16" spans="2:14" ht="18" customHeight="1">
      <c r="B16" s="143" t="s">
        <v>19</v>
      </c>
      <c r="C16" s="143" t="s">
        <v>19</v>
      </c>
      <c r="D16" s="48" t="s">
        <v>93</v>
      </c>
      <c r="E16" s="144" t="s">
        <v>244</v>
      </c>
      <c r="F16" s="50">
        <v>2.6</v>
      </c>
      <c r="G16" s="145">
        <v>0.05</v>
      </c>
      <c r="H16" s="145">
        <f>HLOOKUP(G16,BDI!$C$19:$I$30,12,)</f>
        <v>0.31419999999999998</v>
      </c>
      <c r="I16" s="68">
        <v>334.4</v>
      </c>
      <c r="J16" s="68">
        <v>296</v>
      </c>
      <c r="K16" s="68">
        <v>38.4</v>
      </c>
      <c r="L16" s="68">
        <v>0</v>
      </c>
      <c r="M16" s="68" t="s">
        <v>232</v>
      </c>
      <c r="N16" s="68" t="s">
        <v>232</v>
      </c>
    </row>
    <row r="17" spans="2:14" ht="18" customHeight="1">
      <c r="B17" s="143" t="s">
        <v>19</v>
      </c>
      <c r="C17" s="143" t="s">
        <v>19</v>
      </c>
      <c r="D17" s="48" t="s">
        <v>94</v>
      </c>
      <c r="E17" s="144" t="s">
        <v>245</v>
      </c>
      <c r="F17" s="50">
        <v>2.7833333333333332</v>
      </c>
      <c r="G17" s="145">
        <v>2.5000000000000001E-2</v>
      </c>
      <c r="H17" s="145">
        <f>HLOOKUP(G17,BDI!$C$19:$I$30,12,)</f>
        <v>0.27779999999999999</v>
      </c>
      <c r="I17" s="68">
        <v>548.83000000000004</v>
      </c>
      <c r="J17" s="68">
        <v>421.87</v>
      </c>
      <c r="K17" s="68">
        <v>126.96</v>
      </c>
      <c r="L17" s="68">
        <v>0</v>
      </c>
      <c r="M17" s="68" t="s">
        <v>232</v>
      </c>
      <c r="N17" s="68" t="s">
        <v>235</v>
      </c>
    </row>
    <row r="18" spans="2:14" ht="18" customHeight="1">
      <c r="B18" s="143" t="s">
        <v>19</v>
      </c>
      <c r="C18" s="143" t="s">
        <v>19</v>
      </c>
      <c r="D18" s="48" t="s">
        <v>95</v>
      </c>
      <c r="E18" s="144" t="s">
        <v>246</v>
      </c>
      <c r="F18" s="50">
        <v>2.3333333333333335</v>
      </c>
      <c r="G18" s="145">
        <v>0.02</v>
      </c>
      <c r="H18" s="145">
        <f>HLOOKUP(G18,BDI!$C$19:$I$30,12,)</f>
        <v>0.2707</v>
      </c>
      <c r="I18" s="68">
        <v>2280.63</v>
      </c>
      <c r="J18" s="68">
        <v>742.67</v>
      </c>
      <c r="K18" s="68">
        <v>1114.42</v>
      </c>
      <c r="L18" s="68">
        <v>423.54</v>
      </c>
      <c r="M18" s="68" t="s">
        <v>235</v>
      </c>
      <c r="N18" s="68" t="s">
        <v>235</v>
      </c>
    </row>
    <row r="19" spans="2:14" ht="18" customHeight="1">
      <c r="B19" s="143" t="s">
        <v>19</v>
      </c>
      <c r="C19" s="143" t="s">
        <v>19</v>
      </c>
      <c r="D19" s="48" t="s">
        <v>96</v>
      </c>
      <c r="E19" s="144" t="s">
        <v>247</v>
      </c>
      <c r="F19" s="50">
        <v>0</v>
      </c>
      <c r="G19" s="145">
        <v>0.02</v>
      </c>
      <c r="H19" s="145">
        <f>HLOOKUP(G19,BDI!$C$19:$I$30,12,)</f>
        <v>0.2707</v>
      </c>
      <c r="I19" s="68">
        <v>3609.84</v>
      </c>
      <c r="J19" s="68">
        <v>2780.7</v>
      </c>
      <c r="K19" s="68">
        <v>629.53</v>
      </c>
      <c r="L19" s="68">
        <v>199.61</v>
      </c>
      <c r="M19" s="68" t="s">
        <v>232</v>
      </c>
      <c r="N19" s="68" t="s">
        <v>235</v>
      </c>
    </row>
    <row r="20" spans="2:14" ht="18" customHeight="1">
      <c r="B20" s="143" t="s">
        <v>248</v>
      </c>
      <c r="C20" s="143" t="s">
        <v>19</v>
      </c>
      <c r="D20" s="48" t="s">
        <v>97</v>
      </c>
      <c r="E20" s="144" t="s">
        <v>249</v>
      </c>
      <c r="F20" s="50">
        <v>6.2833333333333332</v>
      </c>
      <c r="G20" s="145">
        <v>0.02</v>
      </c>
      <c r="H20" s="145">
        <f>HLOOKUP(G20,BDI!$C$19:$I$30,12,)</f>
        <v>0.2707</v>
      </c>
      <c r="I20" s="68">
        <v>461.59</v>
      </c>
      <c r="J20" s="68">
        <v>294.43</v>
      </c>
      <c r="K20" s="68">
        <v>167.16</v>
      </c>
      <c r="L20" s="68">
        <v>0</v>
      </c>
      <c r="M20" s="68" t="s">
        <v>232</v>
      </c>
      <c r="N20" s="68" t="s">
        <v>235</v>
      </c>
    </row>
    <row r="21" spans="2:14" ht="18" customHeight="1">
      <c r="B21" s="143" t="s">
        <v>248</v>
      </c>
      <c r="C21" s="143" t="s">
        <v>19</v>
      </c>
      <c r="D21" s="48" t="s">
        <v>98</v>
      </c>
      <c r="E21" s="144" t="s">
        <v>250</v>
      </c>
      <c r="F21" s="50">
        <v>6.15</v>
      </c>
      <c r="G21" s="145">
        <v>0.02</v>
      </c>
      <c r="H21" s="145">
        <f>HLOOKUP(G21,BDI!$C$19:$I$30,12,)</f>
        <v>0.2707</v>
      </c>
      <c r="I21" s="68">
        <v>2111.12</v>
      </c>
      <c r="J21" s="68">
        <v>689.74</v>
      </c>
      <c r="K21" s="68">
        <v>1262.17</v>
      </c>
      <c r="L21" s="68">
        <v>159.21</v>
      </c>
      <c r="M21" s="68" t="s">
        <v>232</v>
      </c>
      <c r="N21" s="68" t="s">
        <v>235</v>
      </c>
    </row>
    <row r="22" spans="2:14" ht="18" customHeight="1">
      <c r="B22" s="143" t="s">
        <v>248</v>
      </c>
      <c r="C22" s="143" t="s">
        <v>19</v>
      </c>
      <c r="D22" s="48" t="s">
        <v>99</v>
      </c>
      <c r="E22" s="144" t="s">
        <v>251</v>
      </c>
      <c r="F22" s="50">
        <v>5.4833333333333334</v>
      </c>
      <c r="G22" s="145">
        <v>2.5000000000000001E-2</v>
      </c>
      <c r="H22" s="145">
        <f>HLOOKUP(G22,BDI!$C$19:$I$30,12,)</f>
        <v>0.27779999999999999</v>
      </c>
      <c r="I22" s="68">
        <v>949.02</v>
      </c>
      <c r="J22" s="68">
        <v>332.74</v>
      </c>
      <c r="K22" s="68">
        <v>616.28</v>
      </c>
      <c r="L22" s="68">
        <v>0</v>
      </c>
      <c r="M22" s="68" t="s">
        <v>232</v>
      </c>
      <c r="N22" s="68" t="s">
        <v>232</v>
      </c>
    </row>
    <row r="23" spans="2:14" ht="18" customHeight="1">
      <c r="B23" s="143" t="s">
        <v>248</v>
      </c>
      <c r="C23" s="143" t="s">
        <v>19</v>
      </c>
      <c r="D23" s="48" t="s">
        <v>100</v>
      </c>
      <c r="E23" s="144" t="s">
        <v>252</v>
      </c>
      <c r="F23" s="50">
        <v>5.916666666666667</v>
      </c>
      <c r="G23" s="145">
        <v>0.03</v>
      </c>
      <c r="H23" s="145">
        <f>HLOOKUP(G23,BDI!$C$19:$I$30,12,)</f>
        <v>0.28489999999999999</v>
      </c>
      <c r="I23" s="68">
        <v>950.51</v>
      </c>
      <c r="J23" s="68">
        <v>387.48</v>
      </c>
      <c r="K23" s="68">
        <v>524.38</v>
      </c>
      <c r="L23" s="68">
        <v>38.65</v>
      </c>
      <c r="M23" s="68" t="s">
        <v>232</v>
      </c>
      <c r="N23" s="68" t="s">
        <v>235</v>
      </c>
    </row>
  </sheetData>
  <mergeCells count="1">
    <mergeCell ref="B2:N2"/>
  </mergeCells>
  <printOptions horizontalCentered="1"/>
  <pageMargins left="0.25486111111111098" right="0.240972222222222" top="0.49583333333333302" bottom="0.33333333333333298"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FF"/>
  </sheetPr>
  <dimension ref="B1:J65541"/>
  <sheetViews>
    <sheetView showGridLines="0" zoomScaleNormal="100" workbookViewId="0">
      <selection activeCell="O20" sqref="O20"/>
    </sheetView>
  </sheetViews>
  <sheetFormatPr defaultColWidth="10.375" defaultRowHeight="14.25"/>
  <cols>
    <col min="1" max="1" width="5.625" customWidth="1"/>
    <col min="2" max="2" width="15.625" style="146" customWidth="1"/>
    <col min="3" max="3" width="35.875" style="146" customWidth="1"/>
    <col min="4" max="4" width="11" style="39" customWidth="1"/>
    <col min="1024" max="1024" width="8.5" customWidth="1"/>
  </cols>
  <sheetData>
    <row r="1" spans="2:10" ht="15" customHeight="1"/>
    <row r="2" spans="2:10" ht="19.5" customHeight="1">
      <c r="B2" s="245" t="s">
        <v>253</v>
      </c>
      <c r="C2" s="245"/>
      <c r="D2" s="245"/>
      <c r="E2" s="245"/>
      <c r="F2" s="245"/>
      <c r="G2" s="245"/>
      <c r="H2" s="245"/>
      <c r="I2" s="245"/>
      <c r="J2" s="245"/>
    </row>
    <row r="3" spans="2:10" ht="19.5" customHeight="1">
      <c r="B3" s="246" t="str">
        <f>'Valor da Contratação'!B8</f>
        <v>DESONERADA</v>
      </c>
      <c r="C3" s="246"/>
      <c r="D3" s="246"/>
      <c r="E3" s="246"/>
      <c r="F3" s="246"/>
      <c r="G3" s="246"/>
      <c r="H3" s="246"/>
      <c r="I3" s="246"/>
      <c r="J3" s="246"/>
    </row>
    <row r="4" spans="2:10" ht="15" customHeight="1">
      <c r="B4" s="135"/>
      <c r="C4" s="135"/>
      <c r="D4" s="14"/>
    </row>
    <row r="5" spans="2:10" ht="15" customHeight="1">
      <c r="B5" s="247" t="s">
        <v>254</v>
      </c>
      <c r="C5" s="247"/>
      <c r="D5" s="247"/>
      <c r="E5" s="247"/>
      <c r="F5" s="247"/>
      <c r="G5" s="247"/>
      <c r="H5" s="247"/>
      <c r="I5" s="247"/>
      <c r="J5" s="247"/>
    </row>
    <row r="6" spans="2:10" ht="15" customHeight="1">
      <c r="B6" s="147"/>
      <c r="C6" s="3"/>
      <c r="D6" s="93"/>
      <c r="E6" s="93"/>
      <c r="J6" s="148"/>
    </row>
    <row r="7" spans="2:10" ht="15" customHeight="1">
      <c r="B7" s="248" t="s">
        <v>255</v>
      </c>
      <c r="C7" s="248"/>
      <c r="D7" s="248"/>
      <c r="E7" s="248"/>
      <c r="F7" s="248"/>
      <c r="G7" s="248"/>
      <c r="H7" s="248"/>
      <c r="I7" s="248"/>
      <c r="J7" s="248"/>
    </row>
    <row r="8" spans="2:10" ht="15" customHeight="1">
      <c r="B8" s="149"/>
      <c r="C8" s="150"/>
      <c r="D8" s="93"/>
      <c r="E8" s="93"/>
      <c r="J8" s="148"/>
    </row>
    <row r="9" spans="2:10" ht="15" customHeight="1">
      <c r="B9" s="249" t="s">
        <v>256</v>
      </c>
      <c r="C9" s="249"/>
      <c r="D9" s="249"/>
      <c r="E9" s="249"/>
      <c r="F9" s="249"/>
      <c r="G9" s="249"/>
      <c r="H9" s="249"/>
      <c r="I9" s="249"/>
      <c r="J9" s="249"/>
    </row>
    <row r="10" spans="2:10" ht="15" customHeight="1">
      <c r="B10" s="250" t="s">
        <v>257</v>
      </c>
      <c r="C10" s="250"/>
      <c r="D10" s="250"/>
      <c r="E10" s="250"/>
      <c r="F10" s="250"/>
      <c r="G10" s="250"/>
      <c r="H10" s="250"/>
      <c r="I10" s="250"/>
      <c r="J10" s="250"/>
    </row>
    <row r="11" spans="2:10" ht="15" customHeight="1">
      <c r="B11" s="250" t="s">
        <v>258</v>
      </c>
      <c r="C11" s="250"/>
      <c r="D11" s="250"/>
      <c r="E11" s="250"/>
      <c r="F11" s="250"/>
      <c r="G11" s="250"/>
      <c r="H11" s="250"/>
      <c r="I11" s="250"/>
      <c r="J11" s="250"/>
    </row>
    <row r="12" spans="2:10" ht="15" customHeight="1">
      <c r="B12" s="250" t="s">
        <v>259</v>
      </c>
      <c r="C12" s="250"/>
      <c r="D12" s="250"/>
      <c r="E12" s="250"/>
      <c r="F12" s="250"/>
      <c r="G12" s="250"/>
      <c r="H12" s="250"/>
      <c r="I12" s="250"/>
      <c r="J12" s="250"/>
    </row>
    <row r="13" spans="2:10" ht="15" customHeight="1">
      <c r="B13" s="250" t="s">
        <v>260</v>
      </c>
      <c r="C13" s="250"/>
      <c r="D13" s="250"/>
      <c r="E13" s="250"/>
      <c r="F13" s="250"/>
      <c r="G13" s="250"/>
      <c r="H13" s="250"/>
      <c r="I13" s="250"/>
      <c r="J13" s="250"/>
    </row>
    <row r="14" spans="2:10" ht="15" customHeight="1">
      <c r="B14" s="250" t="s">
        <v>261</v>
      </c>
      <c r="C14" s="250"/>
      <c r="D14" s="250"/>
      <c r="E14" s="250"/>
      <c r="F14" s="250"/>
      <c r="G14" s="250"/>
      <c r="H14" s="250"/>
      <c r="I14" s="250"/>
      <c r="J14" s="250"/>
    </row>
    <row r="15" spans="2:10" ht="15" customHeight="1">
      <c r="B15" s="250" t="s">
        <v>262</v>
      </c>
      <c r="C15" s="250"/>
      <c r="D15" s="250"/>
      <c r="E15" s="250"/>
      <c r="F15" s="250"/>
      <c r="G15" s="250"/>
      <c r="H15" s="250"/>
      <c r="I15" s="250"/>
      <c r="J15" s="250"/>
    </row>
    <row r="16" spans="2:10" ht="15" customHeight="1">
      <c r="B16" s="251" t="s">
        <v>263</v>
      </c>
      <c r="C16" s="251"/>
      <c r="D16" s="251"/>
      <c r="E16" s="251"/>
      <c r="F16" s="251"/>
      <c r="G16" s="251"/>
      <c r="H16" s="251"/>
      <c r="I16" s="251"/>
      <c r="J16" s="251"/>
    </row>
    <row r="17" spans="2:10" ht="24.75" customHeight="1">
      <c r="D17" s="14"/>
    </row>
    <row r="18" spans="2:10" ht="16.5" customHeight="1">
      <c r="B18" s="192" t="s">
        <v>264</v>
      </c>
      <c r="C18" s="192"/>
      <c r="D18" s="151" t="s">
        <v>223</v>
      </c>
      <c r="E18" s="151" t="s">
        <v>223</v>
      </c>
      <c r="F18" s="151" t="s">
        <v>223</v>
      </c>
      <c r="G18" s="152" t="s">
        <v>223</v>
      </c>
      <c r="H18" s="153" t="s">
        <v>223</v>
      </c>
      <c r="I18" s="153" t="s">
        <v>223</v>
      </c>
      <c r="J18" s="153" t="s">
        <v>223</v>
      </c>
    </row>
    <row r="19" spans="2:10" ht="16.5" customHeight="1">
      <c r="B19" s="192"/>
      <c r="C19" s="192"/>
      <c r="D19" s="154">
        <v>0.05</v>
      </c>
      <c r="E19" s="154">
        <v>0.04</v>
      </c>
      <c r="F19" s="154">
        <v>3.5000000000000003E-2</v>
      </c>
      <c r="G19" s="155">
        <v>0.03</v>
      </c>
      <c r="H19" s="156">
        <v>2.5000000000000001E-2</v>
      </c>
      <c r="I19" s="156">
        <v>0.02</v>
      </c>
      <c r="J19" s="156">
        <v>1.4999999999999999E-2</v>
      </c>
    </row>
    <row r="20" spans="2:10" ht="16.5" customHeight="1">
      <c r="B20" s="157" t="s">
        <v>265</v>
      </c>
      <c r="C20" s="158" t="s">
        <v>266</v>
      </c>
      <c r="D20" s="159">
        <v>0.04</v>
      </c>
      <c r="E20" s="159">
        <v>0.04</v>
      </c>
      <c r="F20" s="159">
        <v>0.04</v>
      </c>
      <c r="G20" s="159">
        <v>0.04</v>
      </c>
      <c r="H20" s="159">
        <v>0.04</v>
      </c>
      <c r="I20" s="159">
        <v>0.04</v>
      </c>
      <c r="J20" s="159">
        <v>0.04</v>
      </c>
    </row>
    <row r="21" spans="2:10" ht="16.5" customHeight="1">
      <c r="B21" s="157" t="s">
        <v>267</v>
      </c>
      <c r="C21" s="143" t="s">
        <v>268</v>
      </c>
      <c r="D21" s="160">
        <v>1.23E-2</v>
      </c>
      <c r="E21" s="160">
        <v>1.23E-2</v>
      </c>
      <c r="F21" s="160">
        <v>1.23E-2</v>
      </c>
      <c r="G21" s="160">
        <v>1.23E-2</v>
      </c>
      <c r="H21" s="160">
        <v>1.23E-2</v>
      </c>
      <c r="I21" s="160">
        <v>1.23E-2</v>
      </c>
      <c r="J21" s="160">
        <v>1.23E-2</v>
      </c>
    </row>
    <row r="22" spans="2:10" ht="16.5" customHeight="1">
      <c r="B22" s="157" t="s">
        <v>269</v>
      </c>
      <c r="C22" s="143" t="s">
        <v>270</v>
      </c>
      <c r="D22" s="160">
        <v>8.0000000000000002E-3</v>
      </c>
      <c r="E22" s="160">
        <v>8.0000000000000002E-3</v>
      </c>
      <c r="F22" s="160">
        <v>8.0000000000000002E-3</v>
      </c>
      <c r="G22" s="160">
        <v>8.0000000000000002E-3</v>
      </c>
      <c r="H22" s="160">
        <v>8.0000000000000002E-3</v>
      </c>
      <c r="I22" s="160">
        <v>8.0000000000000002E-3</v>
      </c>
      <c r="J22" s="160">
        <v>8.0000000000000002E-3</v>
      </c>
    </row>
    <row r="23" spans="2:10" ht="16.5" customHeight="1">
      <c r="B23" s="157" t="s">
        <v>271</v>
      </c>
      <c r="C23" s="143" t="s">
        <v>272</v>
      </c>
      <c r="D23" s="160">
        <v>1.2699999999999999E-2</v>
      </c>
      <c r="E23" s="160">
        <v>1.2699999999999999E-2</v>
      </c>
      <c r="F23" s="160">
        <v>1.2699999999999999E-2</v>
      </c>
      <c r="G23" s="160">
        <v>1.2699999999999999E-2</v>
      </c>
      <c r="H23" s="160">
        <v>1.2699999999999999E-2</v>
      </c>
      <c r="I23" s="160">
        <v>1.2699999999999999E-2</v>
      </c>
      <c r="J23" s="160">
        <v>1.2699999999999999E-2</v>
      </c>
    </row>
    <row r="24" spans="2:10" ht="16.5" customHeight="1">
      <c r="B24" s="157" t="s">
        <v>273</v>
      </c>
      <c r="C24" s="143" t="s">
        <v>274</v>
      </c>
      <c r="D24" s="160">
        <v>7.3999999999999996E-2</v>
      </c>
      <c r="E24" s="160">
        <v>7.3999999999999996E-2</v>
      </c>
      <c r="F24" s="160">
        <v>7.3999999999999996E-2</v>
      </c>
      <c r="G24" s="160">
        <v>7.3999999999999996E-2</v>
      </c>
      <c r="H24" s="160">
        <v>7.3999999999999996E-2</v>
      </c>
      <c r="I24" s="160">
        <v>7.3999999999999996E-2</v>
      </c>
      <c r="J24" s="160">
        <v>7.3999999999999996E-2</v>
      </c>
    </row>
    <row r="25" spans="2:10" ht="16.5" customHeight="1">
      <c r="B25" s="252" t="s">
        <v>182</v>
      </c>
      <c r="C25" s="143" t="s">
        <v>275</v>
      </c>
      <c r="D25" s="160">
        <v>6.4999999999999997E-3</v>
      </c>
      <c r="E25" s="160">
        <v>6.4999999999999997E-3</v>
      </c>
      <c r="F25" s="160">
        <v>6.4999999999999997E-3</v>
      </c>
      <c r="G25" s="160">
        <v>6.4999999999999997E-3</v>
      </c>
      <c r="H25" s="160">
        <v>6.4999999999999997E-3</v>
      </c>
      <c r="I25" s="160">
        <v>6.4999999999999997E-3</v>
      </c>
      <c r="J25" s="160">
        <v>6.4999999999999997E-3</v>
      </c>
    </row>
    <row r="26" spans="2:10" ht="16.5" customHeight="1">
      <c r="B26" s="252"/>
      <c r="C26" s="157" t="s">
        <v>276</v>
      </c>
      <c r="D26" s="161">
        <v>0.03</v>
      </c>
      <c r="E26" s="161">
        <v>0.03</v>
      </c>
      <c r="F26" s="161">
        <v>0.03</v>
      </c>
      <c r="G26" s="161">
        <v>0.03</v>
      </c>
      <c r="H26" s="161">
        <v>0.03</v>
      </c>
      <c r="I26" s="161">
        <v>0.03</v>
      </c>
      <c r="J26" s="161">
        <v>0.03</v>
      </c>
    </row>
    <row r="27" spans="2:10" ht="16.5" customHeight="1">
      <c r="B27" s="252"/>
      <c r="C27" s="157" t="s">
        <v>223</v>
      </c>
      <c r="D27" s="161">
        <v>0.05</v>
      </c>
      <c r="E27" s="161">
        <v>0.04</v>
      </c>
      <c r="F27" s="160">
        <v>3.5000000000000003E-2</v>
      </c>
      <c r="G27" s="161">
        <v>0.03</v>
      </c>
      <c r="H27" s="161">
        <v>2.5000000000000001E-2</v>
      </c>
      <c r="I27" s="161">
        <v>0.02</v>
      </c>
      <c r="J27" s="160">
        <v>1.4999999999999999E-2</v>
      </c>
    </row>
    <row r="28" spans="2:10" ht="16.5" customHeight="1">
      <c r="B28" s="252"/>
      <c r="C28" s="157" t="s">
        <v>277</v>
      </c>
      <c r="D28" s="161">
        <v>3.5999999999999997E-2</v>
      </c>
      <c r="E28" s="161">
        <f t="shared" ref="E28:J28" si="0">$D$28</f>
        <v>3.5999999999999997E-2</v>
      </c>
      <c r="F28" s="161">
        <f t="shared" si="0"/>
        <v>3.5999999999999997E-2</v>
      </c>
      <c r="G28" s="161">
        <f t="shared" si="0"/>
        <v>3.5999999999999997E-2</v>
      </c>
      <c r="H28" s="161">
        <f t="shared" si="0"/>
        <v>3.5999999999999997E-2</v>
      </c>
      <c r="I28" s="161">
        <f t="shared" si="0"/>
        <v>3.5999999999999997E-2</v>
      </c>
      <c r="J28" s="161">
        <f t="shared" si="0"/>
        <v>3.5999999999999997E-2</v>
      </c>
    </row>
    <row r="29" spans="2:10" ht="19.5" customHeight="1">
      <c r="B29" s="222" t="s">
        <v>278</v>
      </c>
      <c r="C29" s="222"/>
      <c r="D29" s="162">
        <f t="shared" ref="D29:J29" si="1">(((1+D22+D20+D23)*(1+D21)*(1+D24))/(1-(D25+D26+D27+D28))-1)</f>
        <v>0.31419243206837622</v>
      </c>
      <c r="E29" s="162">
        <f t="shared" si="1"/>
        <v>0.29938463001690141</v>
      </c>
      <c r="F29" s="162">
        <f t="shared" si="1"/>
        <v>0.29210516430252098</v>
      </c>
      <c r="G29" s="162">
        <f t="shared" si="1"/>
        <v>0.28490680684122571</v>
      </c>
      <c r="H29" s="162">
        <f t="shared" si="1"/>
        <v>0.27778820957340722</v>
      </c>
      <c r="I29" s="162">
        <f t="shared" si="1"/>
        <v>0.27074805414876035</v>
      </c>
      <c r="J29" s="162">
        <f t="shared" si="1"/>
        <v>0.26378505111232875</v>
      </c>
    </row>
    <row r="30" spans="2:10" ht="19.5" customHeight="1">
      <c r="B30" s="253" t="s">
        <v>279</v>
      </c>
      <c r="C30" s="253"/>
      <c r="D30" s="163">
        <f t="shared" ref="D30:J30" si="2">ROUND(D29,4)</f>
        <v>0.31419999999999998</v>
      </c>
      <c r="E30" s="163">
        <f t="shared" si="2"/>
        <v>0.2994</v>
      </c>
      <c r="F30" s="163">
        <f t="shared" si="2"/>
        <v>0.29210000000000003</v>
      </c>
      <c r="G30" s="163">
        <f t="shared" si="2"/>
        <v>0.28489999999999999</v>
      </c>
      <c r="H30" s="163">
        <f t="shared" si="2"/>
        <v>0.27779999999999999</v>
      </c>
      <c r="I30" s="163">
        <f t="shared" si="2"/>
        <v>0.2707</v>
      </c>
      <c r="J30" s="163">
        <f t="shared" si="2"/>
        <v>0.26379999999999998</v>
      </c>
    </row>
    <row r="31" spans="2:10" ht="24.75" customHeight="1">
      <c r="B31" s="164"/>
      <c r="C31" s="164"/>
      <c r="D31" s="69"/>
      <c r="E31" s="69"/>
      <c r="F31" s="69"/>
      <c r="G31" s="69"/>
      <c r="H31" s="69"/>
      <c r="I31" s="69"/>
      <c r="J31" s="69"/>
    </row>
    <row r="32" spans="2:10" ht="16.5" customHeight="1">
      <c r="B32" s="192" t="s">
        <v>280</v>
      </c>
      <c r="C32" s="192"/>
      <c r="D32" s="151" t="s">
        <v>223</v>
      </c>
      <c r="E32" s="151" t="s">
        <v>223</v>
      </c>
      <c r="F32" s="151" t="s">
        <v>223</v>
      </c>
      <c r="G32" s="152" t="s">
        <v>223</v>
      </c>
      <c r="H32" s="153" t="s">
        <v>223</v>
      </c>
      <c r="I32" s="153" t="s">
        <v>223</v>
      </c>
      <c r="J32" s="153" t="s">
        <v>223</v>
      </c>
    </row>
    <row r="33" spans="2:10" ht="16.5" customHeight="1">
      <c r="B33" s="192"/>
      <c r="C33" s="192"/>
      <c r="D33" s="154">
        <v>0.05</v>
      </c>
      <c r="E33" s="154">
        <v>0.04</v>
      </c>
      <c r="F33" s="154">
        <v>3.5000000000000003E-2</v>
      </c>
      <c r="G33" s="155">
        <v>0.03</v>
      </c>
      <c r="H33" s="156">
        <v>2.5000000000000001E-2</v>
      </c>
      <c r="I33" s="156">
        <v>0.02</v>
      </c>
      <c r="J33" s="156">
        <v>1.4999999999999999E-2</v>
      </c>
    </row>
    <row r="34" spans="2:10" ht="16.5" customHeight="1">
      <c r="B34" s="157" t="s">
        <v>265</v>
      </c>
      <c r="C34" s="158" t="s">
        <v>266</v>
      </c>
      <c r="D34" s="160">
        <v>3.4500000000000003E-2</v>
      </c>
      <c r="E34" s="160">
        <v>3.4500000000000003E-2</v>
      </c>
      <c r="F34" s="160">
        <v>3.4500000000000003E-2</v>
      </c>
      <c r="G34" s="160">
        <v>3.4500000000000003E-2</v>
      </c>
      <c r="H34" s="160">
        <v>3.4500000000000003E-2</v>
      </c>
      <c r="I34" s="160">
        <v>3.4500000000000003E-2</v>
      </c>
      <c r="J34" s="160">
        <v>3.4500000000000003E-2</v>
      </c>
    </row>
    <row r="35" spans="2:10" ht="16.5" customHeight="1">
      <c r="B35" s="157" t="s">
        <v>267</v>
      </c>
      <c r="C35" s="143" t="s">
        <v>268</v>
      </c>
      <c r="D35" s="160">
        <v>8.5000000000000006E-3</v>
      </c>
      <c r="E35" s="160">
        <v>8.5000000000000006E-3</v>
      </c>
      <c r="F35" s="160">
        <v>8.5000000000000006E-3</v>
      </c>
      <c r="G35" s="160">
        <v>8.5000000000000006E-3</v>
      </c>
      <c r="H35" s="160">
        <v>8.5000000000000006E-3</v>
      </c>
      <c r="I35" s="160">
        <v>8.5000000000000006E-3</v>
      </c>
      <c r="J35" s="160">
        <v>8.5000000000000006E-3</v>
      </c>
    </row>
    <row r="36" spans="2:10" ht="16.5" customHeight="1">
      <c r="B36" s="157" t="s">
        <v>269</v>
      </c>
      <c r="C36" s="143" t="s">
        <v>270</v>
      </c>
      <c r="D36" s="160">
        <v>4.7999999999999996E-3</v>
      </c>
      <c r="E36" s="160">
        <v>4.7999999999999996E-3</v>
      </c>
      <c r="F36" s="160">
        <v>4.7999999999999996E-3</v>
      </c>
      <c r="G36" s="160">
        <v>4.7999999999999996E-3</v>
      </c>
      <c r="H36" s="160">
        <v>4.7999999999999996E-3</v>
      </c>
      <c r="I36" s="160">
        <v>4.7999999999999996E-3</v>
      </c>
      <c r="J36" s="160">
        <v>4.7999999999999996E-3</v>
      </c>
    </row>
    <row r="37" spans="2:10" ht="16.5" customHeight="1">
      <c r="B37" s="157" t="s">
        <v>271</v>
      </c>
      <c r="C37" s="143" t="s">
        <v>272</v>
      </c>
      <c r="D37" s="160">
        <v>8.5000000000000006E-3</v>
      </c>
      <c r="E37" s="160">
        <v>8.5000000000000006E-3</v>
      </c>
      <c r="F37" s="160">
        <v>8.5000000000000006E-3</v>
      </c>
      <c r="G37" s="160">
        <v>8.5000000000000006E-3</v>
      </c>
      <c r="H37" s="160">
        <v>8.5000000000000006E-3</v>
      </c>
      <c r="I37" s="160">
        <v>8.5000000000000006E-3</v>
      </c>
      <c r="J37" s="160">
        <v>8.5000000000000006E-3</v>
      </c>
    </row>
    <row r="38" spans="2:10" ht="16.5" customHeight="1">
      <c r="B38" s="157" t="s">
        <v>273</v>
      </c>
      <c r="C38" s="143" t="s">
        <v>274</v>
      </c>
      <c r="D38" s="160">
        <v>5.11E-2</v>
      </c>
      <c r="E38" s="160">
        <v>5.11E-2</v>
      </c>
      <c r="F38" s="160">
        <v>5.11E-2</v>
      </c>
      <c r="G38" s="160">
        <v>5.11E-2</v>
      </c>
      <c r="H38" s="160">
        <v>5.11E-2</v>
      </c>
      <c r="I38" s="160">
        <v>5.11E-2</v>
      </c>
      <c r="J38" s="160">
        <v>5.11E-2</v>
      </c>
    </row>
    <row r="39" spans="2:10" ht="16.5" customHeight="1">
      <c r="B39" s="252" t="s">
        <v>182</v>
      </c>
      <c r="C39" s="143" t="s">
        <v>275</v>
      </c>
      <c r="D39" s="160">
        <v>6.4999999999999997E-3</v>
      </c>
      <c r="E39" s="160">
        <v>6.4999999999999997E-3</v>
      </c>
      <c r="F39" s="160">
        <v>6.4999999999999997E-3</v>
      </c>
      <c r="G39" s="160">
        <v>6.4999999999999997E-3</v>
      </c>
      <c r="H39" s="160">
        <v>6.4999999999999997E-3</v>
      </c>
      <c r="I39" s="160">
        <v>6.4999999999999997E-3</v>
      </c>
      <c r="J39" s="160">
        <v>6.4999999999999997E-3</v>
      </c>
    </row>
    <row r="40" spans="2:10" ht="16.5" customHeight="1">
      <c r="B40" s="252"/>
      <c r="C40" s="157" t="s">
        <v>276</v>
      </c>
      <c r="D40" s="161">
        <v>0.03</v>
      </c>
      <c r="E40" s="161">
        <v>0.03</v>
      </c>
      <c r="F40" s="161">
        <v>0.03</v>
      </c>
      <c r="G40" s="161">
        <v>0.03</v>
      </c>
      <c r="H40" s="161">
        <v>0.03</v>
      </c>
      <c r="I40" s="161">
        <v>0.03</v>
      </c>
      <c r="J40" s="161">
        <v>0.03</v>
      </c>
    </row>
    <row r="41" spans="2:10" ht="16.5" customHeight="1">
      <c r="B41" s="252"/>
      <c r="C41" s="157" t="s">
        <v>223</v>
      </c>
      <c r="D41" s="161">
        <v>0</v>
      </c>
      <c r="E41" s="161">
        <v>0</v>
      </c>
      <c r="F41" s="160">
        <v>0</v>
      </c>
      <c r="G41" s="161">
        <v>0</v>
      </c>
      <c r="H41" s="161">
        <v>0</v>
      </c>
      <c r="I41" s="161">
        <v>0</v>
      </c>
      <c r="J41" s="160">
        <v>0</v>
      </c>
    </row>
    <row r="42" spans="2:10" ht="16.5" customHeight="1">
      <c r="B42" s="252"/>
      <c r="C42" s="157" t="s">
        <v>277</v>
      </c>
      <c r="D42" s="161">
        <f>D28</f>
        <v>3.5999999999999997E-2</v>
      </c>
      <c r="E42" s="161">
        <f t="shared" ref="E42:J42" si="3">$D$42</f>
        <v>3.5999999999999997E-2</v>
      </c>
      <c r="F42" s="161">
        <f t="shared" si="3"/>
        <v>3.5999999999999997E-2</v>
      </c>
      <c r="G42" s="161">
        <f t="shared" si="3"/>
        <v>3.5999999999999997E-2</v>
      </c>
      <c r="H42" s="161">
        <f t="shared" si="3"/>
        <v>3.5999999999999997E-2</v>
      </c>
      <c r="I42" s="161">
        <f t="shared" si="3"/>
        <v>3.5999999999999997E-2</v>
      </c>
      <c r="J42" s="161">
        <f t="shared" si="3"/>
        <v>3.5999999999999997E-2</v>
      </c>
    </row>
    <row r="43" spans="2:10" ht="16.5" customHeight="1">
      <c r="B43" s="254" t="s">
        <v>278</v>
      </c>
      <c r="C43" s="254"/>
      <c r="D43" s="162">
        <f t="shared" ref="D43:J43" si="4">(((1+D36+D34+D37)*(1+D35)*(1+D38))/(1-(D39+D40+D41+D42))-1)</f>
        <v>0.19752451960107775</v>
      </c>
      <c r="E43" s="162">
        <f t="shared" si="4"/>
        <v>0.19752451960107775</v>
      </c>
      <c r="F43" s="162">
        <f t="shared" si="4"/>
        <v>0.19752451960107775</v>
      </c>
      <c r="G43" s="162">
        <f t="shared" si="4"/>
        <v>0.19752451960107775</v>
      </c>
      <c r="H43" s="162">
        <f t="shared" si="4"/>
        <v>0.19752451960107775</v>
      </c>
      <c r="I43" s="162">
        <f t="shared" si="4"/>
        <v>0.19752451960107775</v>
      </c>
      <c r="J43" s="162">
        <f t="shared" si="4"/>
        <v>0.19752451960107775</v>
      </c>
    </row>
    <row r="44" spans="2:10" ht="19.5" customHeight="1">
      <c r="B44" s="255" t="s">
        <v>279</v>
      </c>
      <c r="C44" s="255"/>
      <c r="D44" s="163">
        <f t="shared" ref="D44:J44" si="5">ROUND(D43,4)</f>
        <v>0.19750000000000001</v>
      </c>
      <c r="E44" s="163">
        <f t="shared" si="5"/>
        <v>0.19750000000000001</v>
      </c>
      <c r="F44" s="163">
        <f t="shared" si="5"/>
        <v>0.19750000000000001</v>
      </c>
      <c r="G44" s="163">
        <f t="shared" si="5"/>
        <v>0.19750000000000001</v>
      </c>
      <c r="H44" s="163">
        <f t="shared" si="5"/>
        <v>0.19750000000000001</v>
      </c>
      <c r="I44" s="163">
        <f t="shared" si="5"/>
        <v>0.19750000000000001</v>
      </c>
      <c r="J44" s="163">
        <f t="shared" si="5"/>
        <v>0.19750000000000001</v>
      </c>
    </row>
    <row r="65540" ht="12.75" customHeight="1"/>
    <row r="65541" ht="12.75" customHeight="1"/>
  </sheetData>
  <mergeCells count="20">
    <mergeCell ref="B30:C30"/>
    <mergeCell ref="B32:C33"/>
    <mergeCell ref="B39:B42"/>
    <mergeCell ref="B43:C43"/>
    <mergeCell ref="B44:C44"/>
    <mergeCell ref="B15:J15"/>
    <mergeCell ref="B16:J16"/>
    <mergeCell ref="B18:C19"/>
    <mergeCell ref="B25:B28"/>
    <mergeCell ref="B29:C29"/>
    <mergeCell ref="B10:J10"/>
    <mergeCell ref="B11:J11"/>
    <mergeCell ref="B12:J12"/>
    <mergeCell ref="B13:J13"/>
    <mergeCell ref="B14:J14"/>
    <mergeCell ref="B2:J2"/>
    <mergeCell ref="B3:J3"/>
    <mergeCell ref="B5:J5"/>
    <mergeCell ref="B7:J7"/>
    <mergeCell ref="B9:J9"/>
  </mergeCells>
  <printOptions horizontalCentered="1"/>
  <pageMargins left="0.25486111111111098" right="0.240972222222222" top="0.49583333333333302" bottom="0.33333333333333298"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FF"/>
  </sheetPr>
  <dimension ref="B1:IP31"/>
  <sheetViews>
    <sheetView showGridLines="0" zoomScaleNormal="100" workbookViewId="0">
      <selection activeCell="K11" sqref="K11"/>
    </sheetView>
  </sheetViews>
  <sheetFormatPr defaultColWidth="10.5" defaultRowHeight="14.25"/>
  <cols>
    <col min="1" max="1" width="5.625" customWidth="1"/>
    <col min="2" max="2" width="33.375" style="11" customWidth="1"/>
    <col min="3" max="4" width="14.75" style="11" customWidth="1"/>
    <col min="5" max="5" width="15.625" style="11" customWidth="1"/>
    <col min="6" max="6" width="13.75" style="11" customWidth="1"/>
    <col min="7" max="7" width="14.875" style="11" customWidth="1"/>
    <col min="8" max="8" width="14.375" style="11" customWidth="1"/>
    <col min="9" max="9" width="14" style="12" customWidth="1"/>
    <col min="10" max="10" width="14.875" style="11" customWidth="1"/>
    <col min="11" max="249" width="10.625" style="11" customWidth="1"/>
    <col min="1020" max="1024" width="8.5" customWidth="1"/>
  </cols>
  <sheetData>
    <row r="1" spans="2:250" ht="15" customHeight="1"/>
    <row r="2" spans="2:250" ht="24.75" customHeight="1">
      <c r="B2" s="191" t="str">
        <f>"PLANILHA RESUMO "&amp;'Valor da Contratação'!B7&amp;""</f>
        <v>PLANILHA RESUMO POLO IX</v>
      </c>
      <c r="C2" s="191"/>
      <c r="D2" s="191"/>
      <c r="E2" s="191"/>
      <c r="F2" s="191"/>
      <c r="G2" s="191"/>
      <c r="H2" s="191"/>
      <c r="I2" s="191"/>
      <c r="J2" s="13"/>
    </row>
    <row r="3" spans="2:250" ht="15" customHeight="1">
      <c r="B3" s="3"/>
      <c r="H3" s="3"/>
      <c r="I3" s="14"/>
    </row>
    <row r="4" spans="2:250" ht="46.5" customHeight="1">
      <c r="B4" s="15" t="s">
        <v>11</v>
      </c>
      <c r="C4" s="15" t="s">
        <v>12</v>
      </c>
      <c r="D4" s="15" t="s">
        <v>13</v>
      </c>
      <c r="E4" s="15" t="s">
        <v>14</v>
      </c>
      <c r="F4" s="15" t="s">
        <v>15</v>
      </c>
      <c r="G4" s="15" t="s">
        <v>16</v>
      </c>
      <c r="H4" s="15" t="s">
        <v>17</v>
      </c>
      <c r="I4" s="15" t="s">
        <v>18</v>
      </c>
    </row>
    <row r="5" spans="2:250" ht="19.5" customHeight="1">
      <c r="B5" s="16" t="s">
        <v>19</v>
      </c>
      <c r="C5" s="17">
        <f>'Base PF'!C26</f>
        <v>24888.929999999997</v>
      </c>
      <c r="D5" s="18">
        <f>'Base PF'!AT10</f>
        <v>29422.168298161094</v>
      </c>
      <c r="E5" s="18">
        <f>D5*12</f>
        <v>353066.01957793313</v>
      </c>
      <c r="F5" s="18">
        <f>'Base PF'!AT12</f>
        <v>88266.504894483311</v>
      </c>
      <c r="G5" s="18">
        <f>F5*12</f>
        <v>1059198.0587337997</v>
      </c>
      <c r="H5" s="18">
        <f>D5+F5</f>
        <v>117688.6731926444</v>
      </c>
      <c r="I5" s="18">
        <f>H5*12</f>
        <v>1412264.078311733</v>
      </c>
    </row>
    <row r="6" spans="2:250" ht="19.5" customHeight="1">
      <c r="B6" s="19" t="str">
        <f>"TOTAL "&amp;'Valor da Contratação'!B7&amp;""</f>
        <v>TOTAL POLO IX</v>
      </c>
      <c r="C6" s="20">
        <f t="shared" ref="C6:I6" si="0">SUM(C5:C5)</f>
        <v>24888.929999999997</v>
      </c>
      <c r="D6" s="21">
        <f t="shared" si="0"/>
        <v>29422.168298161094</v>
      </c>
      <c r="E6" s="21">
        <f t="shared" si="0"/>
        <v>353066.01957793313</v>
      </c>
      <c r="F6" s="21">
        <f t="shared" si="0"/>
        <v>88266.504894483311</v>
      </c>
      <c r="G6" s="21">
        <f t="shared" si="0"/>
        <v>1059198.0587337997</v>
      </c>
      <c r="H6" s="21">
        <f t="shared" si="0"/>
        <v>117688.6731926444</v>
      </c>
      <c r="I6" s="21">
        <f t="shared" si="0"/>
        <v>1412264.078311733</v>
      </c>
      <c r="J6" s="22"/>
    </row>
    <row r="7" spans="2:250" ht="24.75" customHeight="1">
      <c r="B7" s="3"/>
      <c r="C7" s="3"/>
      <c r="D7" s="3"/>
      <c r="E7" s="3"/>
      <c r="F7" s="3"/>
      <c r="G7" s="23"/>
      <c r="H7" s="3"/>
      <c r="I7" s="14"/>
    </row>
    <row r="8" spans="2:250" s="24" customFormat="1" ht="27" customHeight="1">
      <c r="B8" s="192" t="str">
        <f>"BASE "&amp;B5</f>
        <v>BASE PASSO FUNDO</v>
      </c>
      <c r="C8" s="193" t="s">
        <v>20</v>
      </c>
      <c r="D8" s="193"/>
      <c r="E8" s="193"/>
      <c r="F8" s="193" t="s">
        <v>21</v>
      </c>
      <c r="G8" s="193"/>
      <c r="H8" s="193"/>
      <c r="I8" s="2" t="s">
        <v>22</v>
      </c>
      <c r="IP8" s="25"/>
    </row>
    <row r="9" spans="2:250" s="24" customFormat="1" ht="22.5" customHeight="1">
      <c r="B9" s="192"/>
      <c r="C9" s="26" t="s">
        <v>23</v>
      </c>
      <c r="D9" s="26" t="s">
        <v>24</v>
      </c>
      <c r="E9" s="26" t="s">
        <v>25</v>
      </c>
      <c r="F9" s="27" t="s">
        <v>23</v>
      </c>
      <c r="G9" s="27" t="s">
        <v>24</v>
      </c>
      <c r="H9" s="27" t="s">
        <v>25</v>
      </c>
      <c r="I9" s="27" t="s">
        <v>26</v>
      </c>
      <c r="IP9" s="25"/>
    </row>
    <row r="10" spans="2:250" ht="16.5" customHeight="1">
      <c r="B10" s="16" t="str">
        <f>'Base PF'!B7</f>
        <v>APS Nova Prata</v>
      </c>
      <c r="C10" s="18">
        <f>'Base PF'!AO7</f>
        <v>1251.2468071241681</v>
      </c>
      <c r="D10" s="18">
        <f t="shared" ref="D10:D28" si="1">C10*3</f>
        <v>3753.740421372504</v>
      </c>
      <c r="E10" s="18">
        <f t="shared" ref="E10:E28" si="2">C10+D10</f>
        <v>5004.9872284966723</v>
      </c>
      <c r="F10" s="18">
        <f t="shared" ref="F10:F28" si="3">C10*12</f>
        <v>15014.961685490016</v>
      </c>
      <c r="G10" s="18">
        <f t="shared" ref="G10:G28" si="4">F10*3</f>
        <v>45044.885056470048</v>
      </c>
      <c r="H10" s="18">
        <f t="shared" ref="H10:H28" si="5">F10+G10</f>
        <v>60059.846741960064</v>
      </c>
      <c r="I10" s="28">
        <f t="shared" ref="I10:I28" si="6">F10/$E$6</f>
        <v>4.2527348577581614E-2</v>
      </c>
    </row>
    <row r="11" spans="2:250" ht="16.5" customHeight="1">
      <c r="B11" s="16" t="str">
        <f>'Base PF'!B8</f>
        <v>APS Vacaria</v>
      </c>
      <c r="C11" s="18">
        <f>'Base PF'!AO8</f>
        <v>1772.5955757524005</v>
      </c>
      <c r="D11" s="18">
        <f t="shared" si="1"/>
        <v>5317.7867272572012</v>
      </c>
      <c r="E11" s="18">
        <f t="shared" si="2"/>
        <v>7090.3823030096019</v>
      </c>
      <c r="F11" s="18">
        <f t="shared" si="3"/>
        <v>21271.146909028805</v>
      </c>
      <c r="G11" s="18">
        <f t="shared" si="4"/>
        <v>63813.440727086418</v>
      </c>
      <c r="H11" s="18">
        <f t="shared" si="5"/>
        <v>85084.587636115219</v>
      </c>
      <c r="I11" s="28">
        <f t="shared" si="6"/>
        <v>6.02469388995776E-2</v>
      </c>
    </row>
    <row r="12" spans="2:250" ht="16.5" customHeight="1">
      <c r="B12" s="16" t="str">
        <f>'Base PF'!B9</f>
        <v>APS Veranópolis</v>
      </c>
      <c r="C12" s="18">
        <f>'Base PF'!AO9</f>
        <v>1396.5419149560539</v>
      </c>
      <c r="D12" s="18">
        <f t="shared" si="1"/>
        <v>4189.6257448681617</v>
      </c>
      <c r="E12" s="18">
        <f t="shared" si="2"/>
        <v>5586.1676598242157</v>
      </c>
      <c r="F12" s="18">
        <f t="shared" si="3"/>
        <v>16758.502979472647</v>
      </c>
      <c r="G12" s="18">
        <f t="shared" si="4"/>
        <v>50275.508938417945</v>
      </c>
      <c r="H12" s="18">
        <f t="shared" si="5"/>
        <v>67034.011917890588</v>
      </c>
      <c r="I12" s="28">
        <f t="shared" si="6"/>
        <v>4.7465635462473336E-2</v>
      </c>
    </row>
    <row r="13" spans="2:250" ht="16.5" customHeight="1">
      <c r="B13" s="16" t="str">
        <f>'Base PF'!B10</f>
        <v>APS Carazinho</v>
      </c>
      <c r="C13" s="18">
        <f>'Base PF'!AO10</f>
        <v>1717.4640779443578</v>
      </c>
      <c r="D13" s="18">
        <f t="shared" si="1"/>
        <v>5152.3922338330731</v>
      </c>
      <c r="E13" s="18">
        <f t="shared" si="2"/>
        <v>6869.8563117774311</v>
      </c>
      <c r="F13" s="18">
        <f t="shared" si="3"/>
        <v>20609.568935332292</v>
      </c>
      <c r="G13" s="18">
        <f t="shared" si="4"/>
        <v>61828.706805996873</v>
      </c>
      <c r="H13" s="18">
        <f t="shared" si="5"/>
        <v>82438.275741329169</v>
      </c>
      <c r="I13" s="28">
        <f t="shared" si="6"/>
        <v>5.8373130781516888E-2</v>
      </c>
    </row>
    <row r="14" spans="2:250" ht="16.5" customHeight="1">
      <c r="B14" s="16" t="str">
        <f>'Base PF'!B11</f>
        <v>APS Casca</v>
      </c>
      <c r="C14" s="18">
        <f>'Base PF'!AO11</f>
        <v>1233.5232335603505</v>
      </c>
      <c r="D14" s="18">
        <f t="shared" si="1"/>
        <v>3700.5697006810515</v>
      </c>
      <c r="E14" s="18">
        <f t="shared" si="2"/>
        <v>4934.092934241402</v>
      </c>
      <c r="F14" s="18">
        <f t="shared" si="3"/>
        <v>14802.278802724206</v>
      </c>
      <c r="G14" s="18">
        <f t="shared" si="4"/>
        <v>44406.836408172618</v>
      </c>
      <c r="H14" s="18">
        <f t="shared" si="5"/>
        <v>59209.115210896824</v>
      </c>
      <c r="I14" s="28">
        <f t="shared" si="6"/>
        <v>4.1924960154532412E-2</v>
      </c>
    </row>
    <row r="15" spans="2:250" ht="16.5" customHeight="1">
      <c r="B15" s="16" t="str">
        <f>'Base PF'!B12</f>
        <v>APS Erechim</v>
      </c>
      <c r="C15" s="18">
        <f>'Base PF'!AO12</f>
        <v>1650.5025866692097</v>
      </c>
      <c r="D15" s="18">
        <f t="shared" si="1"/>
        <v>4951.5077600076293</v>
      </c>
      <c r="E15" s="18">
        <f t="shared" si="2"/>
        <v>6602.0103466768387</v>
      </c>
      <c r="F15" s="18">
        <f t="shared" si="3"/>
        <v>19806.031040030517</v>
      </c>
      <c r="G15" s="18">
        <f t="shared" si="4"/>
        <v>59418.093120091551</v>
      </c>
      <c r="H15" s="18">
        <f t="shared" si="5"/>
        <v>79224.124160122068</v>
      </c>
      <c r="I15" s="28">
        <f t="shared" si="6"/>
        <v>5.6097245109306484E-2</v>
      </c>
    </row>
    <row r="16" spans="2:250" ht="16.5" customHeight="1">
      <c r="B16" s="16" t="str">
        <f>'Base PF'!B13</f>
        <v>APS Espumoso</v>
      </c>
      <c r="C16" s="18">
        <f>'Base PF'!AO13</f>
        <v>1163.6115630895163</v>
      </c>
      <c r="D16" s="18">
        <f t="shared" si="1"/>
        <v>3490.8346892685486</v>
      </c>
      <c r="E16" s="18">
        <f t="shared" si="2"/>
        <v>4654.4462523580651</v>
      </c>
      <c r="F16" s="18">
        <f t="shared" si="3"/>
        <v>13963.338757074194</v>
      </c>
      <c r="G16" s="18">
        <f t="shared" si="4"/>
        <v>41890.016271222587</v>
      </c>
      <c r="H16" s="18">
        <f t="shared" si="5"/>
        <v>55853.355028296777</v>
      </c>
      <c r="I16" s="28">
        <f t="shared" si="6"/>
        <v>3.9548803857608374E-2</v>
      </c>
    </row>
    <row r="17" spans="2:9" ht="16.5" customHeight="1">
      <c r="B17" s="16" t="str">
        <f>'Base PF'!B14</f>
        <v>APS Getúlio Vargas</v>
      </c>
      <c r="C17" s="18">
        <f>'Base PF'!AO14</f>
        <v>1151.5137075999398</v>
      </c>
      <c r="D17" s="18">
        <f t="shared" si="1"/>
        <v>3454.5411227998193</v>
      </c>
      <c r="E17" s="18">
        <f t="shared" si="2"/>
        <v>4606.0548303997593</v>
      </c>
      <c r="F17" s="18">
        <f t="shared" si="3"/>
        <v>13818.164491199277</v>
      </c>
      <c r="G17" s="18">
        <f t="shared" si="4"/>
        <v>41454.493473597831</v>
      </c>
      <c r="H17" s="18">
        <f t="shared" si="5"/>
        <v>55272.657964797108</v>
      </c>
      <c r="I17" s="28">
        <f t="shared" si="6"/>
        <v>3.9137622215012283E-2</v>
      </c>
    </row>
    <row r="18" spans="2:9" ht="16.5" customHeight="1">
      <c r="B18" s="16" t="str">
        <f>'Base PF'!B15</f>
        <v>APS Guaporé</v>
      </c>
      <c r="C18" s="18">
        <f>'Base PF'!AO15</f>
        <v>1361.879750809172</v>
      </c>
      <c r="D18" s="18">
        <f t="shared" si="1"/>
        <v>4085.6392524275161</v>
      </c>
      <c r="E18" s="18">
        <f t="shared" si="2"/>
        <v>5447.5190032366881</v>
      </c>
      <c r="F18" s="18">
        <f t="shared" si="3"/>
        <v>16342.557009710064</v>
      </c>
      <c r="G18" s="18">
        <f t="shared" si="4"/>
        <v>49027.671029130193</v>
      </c>
      <c r="H18" s="18">
        <f t="shared" si="5"/>
        <v>65370.228038840258</v>
      </c>
      <c r="I18" s="28">
        <f t="shared" si="6"/>
        <v>4.628753860041955E-2</v>
      </c>
    </row>
    <row r="19" spans="2:9" ht="16.5" customHeight="1">
      <c r="B19" s="16" t="str">
        <f>'Base PF'!B16</f>
        <v>APS Lagoa Vermelha</v>
      </c>
      <c r="C19" s="18">
        <f>'Base PF'!AO16</f>
        <v>1792.4042301756974</v>
      </c>
      <c r="D19" s="18">
        <f t="shared" si="1"/>
        <v>5377.2126905270925</v>
      </c>
      <c r="E19" s="18">
        <f t="shared" si="2"/>
        <v>7169.6169207027897</v>
      </c>
      <c r="F19" s="18">
        <f t="shared" si="3"/>
        <v>21508.85076210837</v>
      </c>
      <c r="G19" s="18">
        <f t="shared" si="4"/>
        <v>64526.55228632511</v>
      </c>
      <c r="H19" s="18">
        <f t="shared" si="5"/>
        <v>86035.40304843348</v>
      </c>
      <c r="I19" s="28">
        <f t="shared" si="6"/>
        <v>6.0920195004381235E-2</v>
      </c>
    </row>
    <row r="20" spans="2:9" ht="16.5" customHeight="1">
      <c r="B20" s="16" t="str">
        <f>'Base PF'!B17</f>
        <v>APS Marau</v>
      </c>
      <c r="C20" s="18">
        <f>'Base PF'!AO17</f>
        <v>1247.3077853165139</v>
      </c>
      <c r="D20" s="18">
        <f t="shared" si="1"/>
        <v>3741.9233559495415</v>
      </c>
      <c r="E20" s="18">
        <f t="shared" si="2"/>
        <v>4989.2311412660556</v>
      </c>
      <c r="F20" s="18">
        <f t="shared" si="3"/>
        <v>14967.693423798166</v>
      </c>
      <c r="G20" s="18">
        <f t="shared" si="4"/>
        <v>44903.080271394501</v>
      </c>
      <c r="H20" s="18">
        <f t="shared" si="5"/>
        <v>59870.773695192664</v>
      </c>
      <c r="I20" s="28">
        <f t="shared" si="6"/>
        <v>4.2393469192223726E-2</v>
      </c>
    </row>
    <row r="21" spans="2:9" ht="16.5" customHeight="1">
      <c r="B21" s="16" t="str">
        <f>'Base PF'!B18</f>
        <v>APS Sarandi</v>
      </c>
      <c r="C21" s="18">
        <f>'Base PF'!AO18</f>
        <v>1311.0467209679357</v>
      </c>
      <c r="D21" s="18">
        <f t="shared" si="1"/>
        <v>3933.1401629038073</v>
      </c>
      <c r="E21" s="18">
        <f t="shared" si="2"/>
        <v>5244.1868838717428</v>
      </c>
      <c r="F21" s="18">
        <f t="shared" si="3"/>
        <v>15732.560651615229</v>
      </c>
      <c r="G21" s="18">
        <f t="shared" si="4"/>
        <v>47197.681954845684</v>
      </c>
      <c r="H21" s="18">
        <f t="shared" si="5"/>
        <v>62930.242606460917</v>
      </c>
      <c r="I21" s="28">
        <f t="shared" si="6"/>
        <v>4.4559826715758304E-2</v>
      </c>
    </row>
    <row r="22" spans="2:9" ht="16.5" customHeight="1">
      <c r="B22" s="16" t="str">
        <f>'Base PF'!B19</f>
        <v>APS Serafina Corrêa</v>
      </c>
      <c r="C22" s="18">
        <f>'Base PF'!AO19</f>
        <v>1326.9877197254734</v>
      </c>
      <c r="D22" s="18">
        <f t="shared" si="1"/>
        <v>3980.96315917642</v>
      </c>
      <c r="E22" s="18">
        <f t="shared" si="2"/>
        <v>5307.9508789018937</v>
      </c>
      <c r="F22" s="18">
        <f t="shared" si="3"/>
        <v>15923.85263670568</v>
      </c>
      <c r="G22" s="18">
        <f t="shared" si="4"/>
        <v>47771.557910117044</v>
      </c>
      <c r="H22" s="18">
        <f t="shared" si="5"/>
        <v>63695.410546822721</v>
      </c>
      <c r="I22" s="28">
        <f t="shared" si="6"/>
        <v>4.5101629026043297E-2</v>
      </c>
    </row>
    <row r="23" spans="2:9" ht="16.5" customHeight="1">
      <c r="B23" s="16" t="str">
        <f>'Base PF'!B20</f>
        <v>APS Soledade</v>
      </c>
      <c r="C23" s="18">
        <f>'Base PF'!AO20</f>
        <v>1787.9290004294126</v>
      </c>
      <c r="D23" s="18">
        <f t="shared" si="1"/>
        <v>5363.7870012882377</v>
      </c>
      <c r="E23" s="18">
        <f t="shared" si="2"/>
        <v>7151.7160017176502</v>
      </c>
      <c r="F23" s="18">
        <f t="shared" si="3"/>
        <v>21455.148005152951</v>
      </c>
      <c r="G23" s="18">
        <f t="shared" si="4"/>
        <v>64365.444015458852</v>
      </c>
      <c r="H23" s="18">
        <f t="shared" si="5"/>
        <v>85820.592020611803</v>
      </c>
      <c r="I23" s="28">
        <f t="shared" si="6"/>
        <v>6.0768090995562671E-2</v>
      </c>
    </row>
    <row r="24" spans="2:9" ht="16.5" customHeight="1">
      <c r="B24" s="16" t="str">
        <f>'Base PF'!B21</f>
        <v>GEX/APS Passo Fundo</v>
      </c>
      <c r="C24" s="18">
        <f>'Base PF'!AO21</f>
        <v>2132.3360563132433</v>
      </c>
      <c r="D24" s="18">
        <f t="shared" si="1"/>
        <v>6397.0081689397302</v>
      </c>
      <c r="E24" s="18">
        <f t="shared" si="2"/>
        <v>8529.344225252973</v>
      </c>
      <c r="F24" s="18">
        <f t="shared" si="3"/>
        <v>25588.032675758921</v>
      </c>
      <c r="G24" s="18">
        <f t="shared" si="4"/>
        <v>76764.098027276763</v>
      </c>
      <c r="H24" s="18">
        <f t="shared" si="5"/>
        <v>102352.13070303568</v>
      </c>
      <c r="I24" s="28">
        <f t="shared" si="6"/>
        <v>7.2473790330623455E-2</v>
      </c>
    </row>
    <row r="25" spans="2:9" ht="16.5" customHeight="1">
      <c r="B25" s="16" t="str">
        <f>'Base PF'!B22</f>
        <v>APS Candelária</v>
      </c>
      <c r="C25" s="18">
        <f>'Base PF'!AO22</f>
        <v>1717.6814858465748</v>
      </c>
      <c r="D25" s="18">
        <f t="shared" si="1"/>
        <v>5153.0444575397241</v>
      </c>
      <c r="E25" s="18">
        <f t="shared" si="2"/>
        <v>6870.7259433862992</v>
      </c>
      <c r="F25" s="18">
        <f t="shared" si="3"/>
        <v>20612.177830158897</v>
      </c>
      <c r="G25" s="18">
        <f t="shared" si="4"/>
        <v>61836.533490476693</v>
      </c>
      <c r="H25" s="18">
        <f t="shared" si="5"/>
        <v>82448.711320635586</v>
      </c>
      <c r="I25" s="28">
        <f t="shared" si="6"/>
        <v>5.8380520036449217E-2</v>
      </c>
    </row>
    <row r="26" spans="2:9" ht="16.5" customHeight="1">
      <c r="B26" s="16" t="str">
        <f>'Base PF'!B23</f>
        <v>APS Santa Cruz do Sul</v>
      </c>
      <c r="C26" s="18">
        <f>'Base PF'!AO23</f>
        <v>2059.3460999430667</v>
      </c>
      <c r="D26" s="18">
        <f t="shared" si="1"/>
        <v>6178.0382998292007</v>
      </c>
      <c r="E26" s="18">
        <f t="shared" si="2"/>
        <v>8237.384399772267</v>
      </c>
      <c r="F26" s="18">
        <f t="shared" si="3"/>
        <v>24712.153199316803</v>
      </c>
      <c r="G26" s="18">
        <f t="shared" si="4"/>
        <v>74136.459597950408</v>
      </c>
      <c r="H26" s="18">
        <f t="shared" si="5"/>
        <v>98848.612797267211</v>
      </c>
      <c r="I26" s="28">
        <f t="shared" si="6"/>
        <v>6.9993009321198715E-2</v>
      </c>
    </row>
    <row r="27" spans="2:9" ht="16.5" customHeight="1">
      <c r="B27" s="16" t="str">
        <f>'Base PF'!B24</f>
        <v>APS Sobradinho</v>
      </c>
      <c r="C27" s="18">
        <f>'Base PF'!AO24</f>
        <v>1582.7867346670275</v>
      </c>
      <c r="D27" s="18">
        <f t="shared" si="1"/>
        <v>4748.3602040010828</v>
      </c>
      <c r="E27" s="18">
        <f t="shared" si="2"/>
        <v>6331.1469386681101</v>
      </c>
      <c r="F27" s="18">
        <f t="shared" si="3"/>
        <v>18993.440816004331</v>
      </c>
      <c r="G27" s="18">
        <f t="shared" si="4"/>
        <v>56980.322448012994</v>
      </c>
      <c r="H27" s="18">
        <f t="shared" si="5"/>
        <v>75973.763264017325</v>
      </c>
      <c r="I27" s="28">
        <f t="shared" si="6"/>
        <v>5.3795720241527983E-2</v>
      </c>
    </row>
    <row r="28" spans="2:9" ht="16.5" customHeight="1">
      <c r="B28" s="16" t="str">
        <f>'Base PF'!B25</f>
        <v>APS Venâncio Aires</v>
      </c>
      <c r="C28" s="18">
        <f>'Base PF'!AO25</f>
        <v>1765.4632472709825</v>
      </c>
      <c r="D28" s="18">
        <f t="shared" si="1"/>
        <v>5296.3897418129472</v>
      </c>
      <c r="E28" s="18">
        <f t="shared" si="2"/>
        <v>7061.85298908393</v>
      </c>
      <c r="F28" s="18">
        <f t="shared" si="3"/>
        <v>21185.558967251789</v>
      </c>
      <c r="G28" s="18">
        <f t="shared" si="4"/>
        <v>63556.676901755367</v>
      </c>
      <c r="H28" s="18">
        <f t="shared" si="5"/>
        <v>84742.235869007156</v>
      </c>
      <c r="I28" s="28">
        <f t="shared" si="6"/>
        <v>6.0004525478202946E-2</v>
      </c>
    </row>
    <row r="29" spans="2:9" ht="22.5" customHeight="1">
      <c r="B29" s="29" t="str">
        <f>"Total Base "&amp;B5</f>
        <v>Total Base PASSO FUNDO</v>
      </c>
      <c r="C29" s="29">
        <f t="shared" ref="C29:I29" si="7">SUM(C10:C28)</f>
        <v>29422.168298161097</v>
      </c>
      <c r="D29" s="29">
        <f t="shared" si="7"/>
        <v>88266.504894483311</v>
      </c>
      <c r="E29" s="29">
        <f t="shared" si="7"/>
        <v>117688.67319264439</v>
      </c>
      <c r="F29" s="29">
        <f t="shared" si="7"/>
        <v>353066.01957793324</v>
      </c>
      <c r="G29" s="29">
        <f t="shared" si="7"/>
        <v>1059198.0587337993</v>
      </c>
      <c r="H29" s="29">
        <f t="shared" si="7"/>
        <v>1412264.078311733</v>
      </c>
      <c r="I29" s="30">
        <f t="shared" si="7"/>
        <v>1.0000000000000002</v>
      </c>
    </row>
    <row r="30" spans="2:9" ht="22.5" customHeight="1">
      <c r="B30" s="31"/>
      <c r="C30" s="31"/>
      <c r="D30" s="31"/>
      <c r="E30" s="31"/>
      <c r="F30" s="31"/>
      <c r="G30" s="31"/>
      <c r="H30" s="31"/>
      <c r="I30" s="32"/>
    </row>
    <row r="31" spans="2:9" ht="22.5" customHeight="1">
      <c r="B31" s="33"/>
      <c r="C31" s="31"/>
      <c r="D31" s="31"/>
      <c r="E31" s="31"/>
      <c r="F31" s="31"/>
      <c r="G31" s="31"/>
      <c r="H31" s="31"/>
      <c r="I31" s="32"/>
    </row>
  </sheetData>
  <mergeCells count="4">
    <mergeCell ref="B2:I2"/>
    <mergeCell ref="B8:B9"/>
    <mergeCell ref="C8:E8"/>
    <mergeCell ref="F8:H8"/>
  </mergeCells>
  <printOptions horizontalCentered="1"/>
  <pageMargins left="0.15069444444444399" right="7.2916666666666699E-2" top="0.13750000000000001" bottom="8.2638888888888901E-2" header="0.511811023622047" footer="0.511811023622047"/>
  <pageSetup paperSize="9" pageOrder="overThenDown"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B1:IW65527"/>
  <sheetViews>
    <sheetView showGridLines="0" zoomScale="110" zoomScaleNormal="110" workbookViewId="0">
      <selection activeCell="J18" sqref="J18"/>
    </sheetView>
  </sheetViews>
  <sheetFormatPr defaultColWidth="10.5" defaultRowHeight="14.25"/>
  <cols>
    <col min="1" max="1" width="5.625" customWidth="1"/>
    <col min="2" max="2" width="21.625" customWidth="1"/>
    <col min="3" max="5" width="14.625" style="3" customWidth="1"/>
    <col min="6" max="6" width="13.5" style="3" customWidth="1"/>
    <col min="7" max="7" width="12.5" style="3" customWidth="1"/>
    <col min="8" max="257" width="10.625" style="3" customWidth="1"/>
  </cols>
  <sheetData>
    <row r="1" spans="2:5" ht="15" customHeight="1"/>
    <row r="2" spans="2:5" ht="24.75" customHeight="1">
      <c r="B2" s="194" t="str">
        <f>"CÁLCULO DO CUSTO DA EQUIPE TÉCNICA PARA O "&amp;'Valor da Contratação'!B7&amp;""</f>
        <v>CÁLCULO DO CUSTO DA EQUIPE TÉCNICA PARA O POLO IX</v>
      </c>
      <c r="C2" s="194"/>
      <c r="D2" s="194"/>
      <c r="E2" s="194"/>
    </row>
    <row r="3" spans="2:5" ht="15" customHeight="1">
      <c r="B3" s="34"/>
      <c r="C3" s="34"/>
      <c r="D3" s="34"/>
      <c r="E3" s="34"/>
    </row>
    <row r="4" spans="2:5" ht="45.75" customHeight="1">
      <c r="B4" s="195" t="s">
        <v>27</v>
      </c>
      <c r="C4" s="1" t="s">
        <v>28</v>
      </c>
      <c r="D4" s="1" t="s">
        <v>29</v>
      </c>
      <c r="E4" s="1" t="s">
        <v>30</v>
      </c>
    </row>
    <row r="5" spans="2:5" ht="19.5" customHeight="1">
      <c r="B5" s="195"/>
      <c r="C5" s="35">
        <v>121.61</v>
      </c>
      <c r="D5" s="35">
        <f>'Comp. Eng. Eletricista'!D11</f>
        <v>124.66111489420001</v>
      </c>
      <c r="E5" s="35">
        <v>32.54</v>
      </c>
    </row>
    <row r="6" spans="2:5" ht="19.5" customHeight="1">
      <c r="B6" s="36" t="s">
        <v>31</v>
      </c>
      <c r="C6" s="37">
        <v>80</v>
      </c>
      <c r="D6" s="37">
        <v>16</v>
      </c>
      <c r="E6" s="37">
        <v>80</v>
      </c>
    </row>
    <row r="7" spans="2:5" ht="19.5" customHeight="1">
      <c r="B7" s="36" t="s">
        <v>32</v>
      </c>
      <c r="C7" s="35">
        <f>C5*C6</f>
        <v>9728.7999999999993</v>
      </c>
      <c r="D7" s="35">
        <f>D5*D6</f>
        <v>1994.5778383072002</v>
      </c>
      <c r="E7" s="35">
        <f>E5*E6</f>
        <v>2603.1999999999998</v>
      </c>
    </row>
    <row r="8" spans="2:5" ht="19.5" customHeight="1">
      <c r="B8" s="36" t="s">
        <v>33</v>
      </c>
      <c r="C8" s="35">
        <f>C5*C6*12</f>
        <v>116745.59999999999</v>
      </c>
      <c r="D8" s="35">
        <f>D5*D6*12</f>
        <v>23934.934059686402</v>
      </c>
      <c r="E8" s="35">
        <f>E5*E6*12</f>
        <v>31238.399999999998</v>
      </c>
    </row>
    <row r="9" spans="2:5" ht="19.5" customHeight="1">
      <c r="B9" s="38" t="s">
        <v>281</v>
      </c>
      <c r="C9" s="39"/>
      <c r="D9" s="39"/>
      <c r="E9" s="39"/>
    </row>
    <row r="10" spans="2:5" ht="19.5" customHeight="1">
      <c r="C10" s="39"/>
      <c r="D10" s="39"/>
      <c r="E10" s="39"/>
    </row>
    <row r="11" spans="2:5" ht="19.5" customHeight="1">
      <c r="B11" s="195" t="s">
        <v>34</v>
      </c>
      <c r="C11" s="195"/>
      <c r="E11" s="39"/>
    </row>
    <row r="12" spans="2:5" ht="19.5" customHeight="1">
      <c r="B12" s="36" t="s">
        <v>35</v>
      </c>
      <c r="C12" s="35">
        <f>SUM(C7:E7)</f>
        <v>14326.577838307199</v>
      </c>
      <c r="E12" s="39"/>
    </row>
    <row r="13" spans="2:5" ht="19.5" customHeight="1">
      <c r="B13" s="36" t="s">
        <v>36</v>
      </c>
      <c r="C13" s="35">
        <f>SUM(C8:E8)</f>
        <v>171918.93405968638</v>
      </c>
    </row>
    <row r="65527" ht="12.75" customHeight="1"/>
  </sheetData>
  <mergeCells count="3">
    <mergeCell ref="B2:E2"/>
    <mergeCell ref="B4:B5"/>
    <mergeCell ref="B11:C11"/>
  </mergeCells>
  <printOptions horizontalCentered="1"/>
  <pageMargins left="0.78749999999999998" right="0.78749999999999998" top="0.47777777777777802" bottom="0.196527777777778" header="0.511811023622047" footer="0.511811023622047"/>
  <pageSetup paperSize="9" pageOrder="overThenDown" orientation="portrait" useFirstPageNumber="1"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B1:IV31"/>
  <sheetViews>
    <sheetView showGridLines="0" zoomScale="110" zoomScaleNormal="110" workbookViewId="0">
      <selection activeCell="AK7" sqref="AK7:AN25"/>
    </sheetView>
  </sheetViews>
  <sheetFormatPr defaultColWidth="10.5" defaultRowHeight="14.25"/>
  <cols>
    <col min="1" max="1" width="5.625" customWidth="1"/>
    <col min="2" max="2" width="32.5" style="11" bestFit="1" customWidth="1"/>
    <col min="3" max="15" width="12.625" style="11" customWidth="1"/>
    <col min="16" max="16" width="8.375" style="11" customWidth="1"/>
    <col min="17" max="17" width="25.625" style="11" customWidth="1"/>
    <col min="18" max="33" width="11.5" style="11" customWidth="1"/>
    <col min="34" max="34" width="11" style="11" customWidth="1"/>
    <col min="35" max="35" width="25.625" style="11" customWidth="1"/>
    <col min="36" max="36" width="10.625" style="11" customWidth="1"/>
    <col min="37" max="40" width="11.75" style="11" customWidth="1"/>
    <col min="41" max="41" width="11.375" style="11" customWidth="1"/>
    <col min="42" max="43" width="12.875" style="11" customWidth="1"/>
    <col min="44" max="44" width="3.375" style="11" customWidth="1"/>
    <col min="45" max="45" width="28.125" style="11" customWidth="1"/>
    <col min="46" max="46" width="12.75" style="11" customWidth="1"/>
    <col min="47" max="49" width="11.75" style="11" customWidth="1"/>
    <col min="50" max="256" width="10.625" style="11" customWidth="1"/>
    <col min="1013" max="1024" width="8.5" customWidth="1"/>
  </cols>
  <sheetData>
    <row r="1" spans="2:49" ht="15" customHeight="1"/>
    <row r="2" spans="2:49" s="40" customFormat="1" ht="24.75" customHeight="1">
      <c r="B2" s="196" t="str">
        <f>"BASE "&amp;Resumo!B5&amp;" - PLANILHA DE FORMAÇÃO DE PREÇOS"</f>
        <v>BASE PASSO FUNDO - PLANILHA DE FORMAÇÃO DE PREÇOS</v>
      </c>
      <c r="C2" s="196"/>
      <c r="D2" s="196"/>
      <c r="E2" s="196"/>
      <c r="F2" s="196"/>
      <c r="G2" s="196"/>
      <c r="H2" s="196"/>
      <c r="I2" s="196"/>
      <c r="J2" s="196"/>
      <c r="K2" s="196"/>
      <c r="L2" s="196"/>
      <c r="M2" s="196"/>
      <c r="N2" s="196"/>
      <c r="O2" s="196"/>
      <c r="P2" s="41"/>
      <c r="Q2" s="194" t="str">
        <f>"BASE "&amp;Resumo!B5&amp;" – PLANILHA DE DISTRIBUIÇÃO DE CUSTOS POR UNIDADE"</f>
        <v>BASE PASSO FUNDO – PLANILHA DE DISTRIBUIÇÃO DE CUSTOS POR UNIDADE</v>
      </c>
      <c r="R2" s="194"/>
      <c r="S2" s="194"/>
      <c r="T2" s="194"/>
      <c r="U2" s="194"/>
      <c r="V2" s="194"/>
      <c r="W2" s="194"/>
      <c r="X2" s="194"/>
      <c r="Y2" s="194"/>
      <c r="Z2" s="194"/>
      <c r="AA2" s="194"/>
      <c r="AB2" s="194"/>
      <c r="AC2" s="194"/>
      <c r="AD2" s="194"/>
      <c r="AE2" s="194"/>
      <c r="AF2" s="194"/>
      <c r="AG2" s="194"/>
      <c r="AH2" s="42"/>
      <c r="AI2" s="197" t="str">
        <f>"BASE "&amp;Resumo!B5&amp;" – PLANILHA RESUMO DE CUSTOS DA BASE"</f>
        <v>BASE PASSO FUNDO – PLANILHA RESUMO DE CUSTOS DA BASE</v>
      </c>
      <c r="AJ2" s="197"/>
      <c r="AK2" s="197"/>
      <c r="AL2" s="197"/>
      <c r="AM2" s="197"/>
      <c r="AN2" s="197"/>
      <c r="AO2" s="197"/>
      <c r="AP2" s="197"/>
      <c r="AQ2" s="197"/>
      <c r="AR2" s="197"/>
      <c r="AS2" s="197"/>
      <c r="AT2" s="197"/>
      <c r="AU2" s="197"/>
      <c r="AV2" s="197"/>
      <c r="AW2" s="197"/>
    </row>
    <row r="3" spans="2:49" ht="15" customHeight="1">
      <c r="B3" s="40"/>
      <c r="C3" s="41"/>
      <c r="D3" s="41"/>
      <c r="E3" s="41"/>
      <c r="F3" s="41"/>
      <c r="G3" s="41"/>
      <c r="H3" s="41"/>
      <c r="I3" s="41"/>
      <c r="J3" s="41"/>
      <c r="K3" s="41"/>
      <c r="L3" s="41"/>
      <c r="M3" s="41"/>
      <c r="N3" s="41"/>
      <c r="O3" s="41"/>
      <c r="P3" s="41"/>
      <c r="Q3" s="41"/>
      <c r="R3" s="42"/>
      <c r="S3" s="42"/>
      <c r="T3" s="42"/>
      <c r="U3" s="42"/>
      <c r="V3" s="42"/>
      <c r="W3" s="42"/>
      <c r="X3" s="42"/>
      <c r="Y3" s="42"/>
      <c r="Z3" s="42"/>
      <c r="AA3" s="42"/>
      <c r="AB3" s="42"/>
      <c r="AC3" s="42"/>
      <c r="AD3" s="42"/>
      <c r="AE3" s="42"/>
      <c r="AF3" s="42"/>
      <c r="AG3" s="42"/>
    </row>
    <row r="4" spans="2:49" s="25" customFormat="1" ht="19.5" customHeight="1">
      <c r="B4" s="198" t="s">
        <v>37</v>
      </c>
      <c r="C4" s="198" t="s">
        <v>38</v>
      </c>
      <c r="D4" s="198"/>
      <c r="E4" s="198"/>
      <c r="F4" s="198"/>
      <c r="G4" s="198"/>
      <c r="H4" s="198" t="s">
        <v>39</v>
      </c>
      <c r="I4" s="198"/>
      <c r="J4" s="198"/>
      <c r="K4" s="198"/>
      <c r="L4" s="198"/>
      <c r="M4" s="198"/>
      <c r="N4" s="198"/>
      <c r="O4" s="198" t="s">
        <v>25</v>
      </c>
      <c r="P4" s="41"/>
      <c r="Q4" s="198" t="s">
        <v>40</v>
      </c>
      <c r="R4" s="199" t="s">
        <v>41</v>
      </c>
      <c r="S4" s="199"/>
      <c r="T4" s="199"/>
      <c r="U4" s="199"/>
      <c r="V4" s="199" t="s">
        <v>42</v>
      </c>
      <c r="W4" s="199"/>
      <c r="X4" s="199"/>
      <c r="Y4" s="199"/>
      <c r="Z4" s="199" t="s">
        <v>43</v>
      </c>
      <c r="AA4" s="199"/>
      <c r="AB4" s="199"/>
      <c r="AC4" s="199"/>
      <c r="AD4" s="199" t="s">
        <v>44</v>
      </c>
      <c r="AE4" s="199"/>
      <c r="AF4" s="199"/>
      <c r="AG4" s="199"/>
      <c r="AI4" s="198" t="s">
        <v>40</v>
      </c>
      <c r="AJ4" s="200" t="s">
        <v>45</v>
      </c>
      <c r="AK4" s="200"/>
      <c r="AL4" s="200"/>
      <c r="AM4" s="200"/>
      <c r="AN4" s="200"/>
      <c r="AO4" s="200" t="s">
        <v>46</v>
      </c>
      <c r="AP4" s="200"/>
      <c r="AQ4" s="200"/>
      <c r="AR4" s="44"/>
      <c r="AS4" s="200" t="str">
        <f>"Resumo de Custos da Base "&amp;Resumo!B5</f>
        <v>Resumo de Custos da Base PASSO FUNDO</v>
      </c>
      <c r="AT4" s="200"/>
      <c r="AU4" s="200"/>
      <c r="AV4" s="200"/>
      <c r="AW4" s="200"/>
    </row>
    <row r="5" spans="2:49" ht="39.75" customHeight="1">
      <c r="B5" s="198"/>
      <c r="C5" s="1" t="s">
        <v>25</v>
      </c>
      <c r="D5" s="1" t="s">
        <v>47</v>
      </c>
      <c r="E5" s="1" t="s">
        <v>48</v>
      </c>
      <c r="F5" s="1" t="s">
        <v>49</v>
      </c>
      <c r="G5" s="198" t="s">
        <v>50</v>
      </c>
      <c r="H5" s="1" t="s">
        <v>51</v>
      </c>
      <c r="I5" s="1" t="s">
        <v>52</v>
      </c>
      <c r="J5" s="1" t="s">
        <v>53</v>
      </c>
      <c r="K5" s="1" t="s">
        <v>54</v>
      </c>
      <c r="L5" s="1" t="s">
        <v>55</v>
      </c>
      <c r="M5" s="1" t="s">
        <v>56</v>
      </c>
      <c r="N5" s="198" t="s">
        <v>57</v>
      </c>
      <c r="O5" s="198"/>
      <c r="P5" s="41"/>
      <c r="Q5" s="198"/>
      <c r="R5" s="1" t="s">
        <v>58</v>
      </c>
      <c r="S5" s="1" t="s">
        <v>59</v>
      </c>
      <c r="T5" s="1" t="s">
        <v>60</v>
      </c>
      <c r="U5" s="1" t="s">
        <v>61</v>
      </c>
      <c r="V5" s="198" t="s">
        <v>62</v>
      </c>
      <c r="W5" s="198" t="s">
        <v>63</v>
      </c>
      <c r="X5" s="198" t="s">
        <v>64</v>
      </c>
      <c r="Y5" s="198" t="s">
        <v>65</v>
      </c>
      <c r="Z5" s="198" t="s">
        <v>66</v>
      </c>
      <c r="AA5" s="198"/>
      <c r="AB5" s="198"/>
      <c r="AC5" s="1">
        <f>N26</f>
        <v>725.29999999999984</v>
      </c>
      <c r="AD5" s="199" t="s">
        <v>58</v>
      </c>
      <c r="AE5" s="199" t="s">
        <v>59</v>
      </c>
      <c r="AF5" s="199" t="s">
        <v>60</v>
      </c>
      <c r="AG5" s="199" t="s">
        <v>61</v>
      </c>
      <c r="AI5" s="198"/>
      <c r="AJ5" s="199" t="s">
        <v>67</v>
      </c>
      <c r="AK5" s="199" t="s">
        <v>58</v>
      </c>
      <c r="AL5" s="199" t="s">
        <v>59</v>
      </c>
      <c r="AM5" s="199" t="s">
        <v>60</v>
      </c>
      <c r="AN5" s="199" t="s">
        <v>61</v>
      </c>
      <c r="AO5" s="199" t="s">
        <v>68</v>
      </c>
      <c r="AP5" s="202" t="s">
        <v>69</v>
      </c>
      <c r="AQ5" s="199" t="s">
        <v>70</v>
      </c>
      <c r="AR5" s="42"/>
      <c r="AS5" s="199" t="s">
        <v>71</v>
      </c>
      <c r="AT5" s="43" t="s">
        <v>58</v>
      </c>
      <c r="AU5" s="43" t="s">
        <v>59</v>
      </c>
      <c r="AV5" s="43" t="s">
        <v>60</v>
      </c>
      <c r="AW5" s="43" t="s">
        <v>61</v>
      </c>
    </row>
    <row r="6" spans="2:49" ht="19.5" customHeight="1">
      <c r="B6" s="198"/>
      <c r="C6" s="45" t="s">
        <v>72</v>
      </c>
      <c r="D6" s="45">
        <v>1</v>
      </c>
      <c r="E6" s="45">
        <v>0.35</v>
      </c>
      <c r="F6" s="45">
        <v>0.1</v>
      </c>
      <c r="G6" s="198"/>
      <c r="H6" s="45">
        <v>1</v>
      </c>
      <c r="I6" s="45">
        <v>1.2</v>
      </c>
      <c r="J6" s="45">
        <v>2</v>
      </c>
      <c r="K6" s="45">
        <v>4</v>
      </c>
      <c r="L6" s="45">
        <v>1.1000000000000001</v>
      </c>
      <c r="M6" s="45">
        <v>1.1000000000000001</v>
      </c>
      <c r="N6" s="198"/>
      <c r="O6" s="198"/>
      <c r="P6" s="46"/>
      <c r="Q6" s="198"/>
      <c r="R6" s="45" t="s">
        <v>73</v>
      </c>
      <c r="S6" s="45" t="s">
        <v>74</v>
      </c>
      <c r="T6" s="45" t="s">
        <v>75</v>
      </c>
      <c r="U6" s="45" t="s">
        <v>76</v>
      </c>
      <c r="V6" s="198"/>
      <c r="W6" s="198"/>
      <c r="X6" s="198"/>
      <c r="Y6" s="198"/>
      <c r="Z6" s="27" t="s">
        <v>58</v>
      </c>
      <c r="AA6" s="27" t="s">
        <v>59</v>
      </c>
      <c r="AB6" s="27" t="s">
        <v>60</v>
      </c>
      <c r="AC6" s="27" t="s">
        <v>61</v>
      </c>
      <c r="AD6" s="199"/>
      <c r="AE6" s="199"/>
      <c r="AF6" s="199"/>
      <c r="AG6" s="199"/>
      <c r="AI6" s="198"/>
      <c r="AJ6" s="199"/>
      <c r="AK6" s="199"/>
      <c r="AL6" s="199"/>
      <c r="AM6" s="199"/>
      <c r="AN6" s="199"/>
      <c r="AO6" s="199"/>
      <c r="AP6" s="203"/>
      <c r="AQ6" s="199"/>
      <c r="AR6" s="47"/>
      <c r="AS6" s="199"/>
      <c r="AT6" s="27" t="s">
        <v>73</v>
      </c>
      <c r="AU6" s="27" t="s">
        <v>74</v>
      </c>
      <c r="AV6" s="27" t="s">
        <v>75</v>
      </c>
      <c r="AW6" s="27" t="s">
        <v>76</v>
      </c>
    </row>
    <row r="7" spans="2:49" s="3" customFormat="1" ht="15" customHeight="1">
      <c r="B7" s="165" t="s">
        <v>77</v>
      </c>
      <c r="C7" s="49">
        <f>VLOOKUP($B7,Unidades!$D$5:$N$23,6,FALSE())</f>
        <v>368.32</v>
      </c>
      <c r="D7" s="49">
        <f>VLOOKUP($B7,Unidades!$D$5:$N$23,7,FALSE())</f>
        <v>280.32</v>
      </c>
      <c r="E7" s="49">
        <f>VLOOKUP($B7,Unidades!$D$5:$N$23,8,FALSE())</f>
        <v>88</v>
      </c>
      <c r="F7" s="49">
        <f>VLOOKUP($B7,Unidades!$D$5:$N$23,9,FALSE())</f>
        <v>0</v>
      </c>
      <c r="G7" s="49">
        <f t="shared" ref="G7:G25" si="0">D7+E7*$E$6+F7*$F$6</f>
        <v>311.12</v>
      </c>
      <c r="H7" s="50">
        <f t="shared" ref="H7:H25" si="1">IF(G7&lt;750,1.5,IF(G7&lt;2000,2,IF(G7&lt;4000,3,12)))</f>
        <v>1.5</v>
      </c>
      <c r="I7" s="50">
        <f t="shared" ref="I7:I25" si="2">$I$6*H7</f>
        <v>1.7999999999999998</v>
      </c>
      <c r="J7" s="50" t="str">
        <f>VLOOKUP($B7,Unidades!$D$5:$N$23,10,FALSE())</f>
        <v>NÃO</v>
      </c>
      <c r="K7" s="50" t="str">
        <f>VLOOKUP($B7,Unidades!$D$5:$N$23,11,FALSE())</f>
        <v>NÃO</v>
      </c>
      <c r="L7" s="50">
        <f t="shared" ref="L7:L25" si="3">$L$6*H7+(IF(J7="SIM",$J$6,0))</f>
        <v>1.6500000000000001</v>
      </c>
      <c r="M7" s="50">
        <f t="shared" ref="M7:M25" si="4">$M$6*H7+(IF(J7="SIM",$J$6,0))+(IF(K7="SIM",$K$6,0))</f>
        <v>1.6500000000000001</v>
      </c>
      <c r="N7" s="50">
        <f t="shared" ref="N7:N25" si="5">H7*12+I7*4+L7*2+M7</f>
        <v>30.15</v>
      </c>
      <c r="O7" s="51">
        <f t="shared" ref="O7:O25" si="6">IF(K7="não", N7*(C$29+D$29),N7*(C$29+D$29)+(M7*+E$29))</f>
        <v>1473.4089729</v>
      </c>
      <c r="P7" s="52"/>
      <c r="Q7" s="16" t="str">
        <f t="shared" ref="Q7:Q25" si="7">B7</f>
        <v>APS Nova Prata</v>
      </c>
      <c r="R7" s="18">
        <f t="shared" ref="R7:R25" si="8">H7*($C$29+$D$29)</f>
        <v>73.303929000000011</v>
      </c>
      <c r="S7" s="18">
        <f t="shared" ref="S7:S25" si="9">I7*($C$29+$D$29)</f>
        <v>87.964714799999996</v>
      </c>
      <c r="T7" s="18">
        <f t="shared" ref="T7:T25" si="10">L7*($C$29+$D$29)</f>
        <v>80.634321900000018</v>
      </c>
      <c r="U7" s="18">
        <f t="shared" ref="U7:U25" si="11">IF(K7="não",M7*($C$29+$D$29),M7*(C$29+D$29+E$29))</f>
        <v>80.634321900000018</v>
      </c>
      <c r="V7" s="18">
        <f>VLOOKUP(Q7,'Desl. Base PF'!$C$5:$S$23,13,FALSE())*($C$29+$D$29+$E$29*(VLOOKUP(Q7,'Desl. Base PF'!$C$5:$S$23,17,FALSE())/12))</f>
        <v>116.5660264388889</v>
      </c>
      <c r="W7" s="18">
        <f>VLOOKUP(Q7,'Desl. Base PF'!$C$5:$S$23,15,FALSE())*(2+(VLOOKUP(Q7,'Desl. Base PF'!$C$5:$S$23,17,FALSE())/12))</f>
        <v>0</v>
      </c>
      <c r="X7" s="18">
        <f>VLOOKUP(Q7,'Desl. Base PF'!$C$5:$Q$25,14,FALSE())</f>
        <v>0</v>
      </c>
      <c r="Y7" s="18">
        <f>VLOOKUP(Q7,'Desl. Base PF'!$C$5:$Q$25,13,FALSE())*'Desl. Base PF'!$E$28+'Desl. Base PF'!$E$29*N7/12</f>
        <v>138.917</v>
      </c>
      <c r="Z7" s="18">
        <f>(H7/$AC$5)*'Equipe Técnica'!$C$13</f>
        <v>355.54722334141678</v>
      </c>
      <c r="AA7" s="18">
        <f>(I7/$AC$5)*'Equipe Técnica'!$C$13</f>
        <v>426.65666800970013</v>
      </c>
      <c r="AB7" s="18">
        <f>(L7/$AC$5)*'Equipe Técnica'!$C$13</f>
        <v>391.10194567555851</v>
      </c>
      <c r="AC7" s="18">
        <f>(M7/$AC$5)*'Equipe Técnica'!$C$13</f>
        <v>391.10194567555851</v>
      </c>
      <c r="AD7" s="18">
        <f t="shared" ref="AD7:AD25" si="12">R7+(($V7+$W7+$X7+$Y7)*12/19)+$Z7</f>
        <v>590.20885325018867</v>
      </c>
      <c r="AE7" s="18">
        <f t="shared" ref="AE7:AE25" si="13">S7+(($V7+$W7+$X7+$Y7)*12/19)+$AA7</f>
        <v>675.97908371847211</v>
      </c>
      <c r="AF7" s="18">
        <f t="shared" ref="AF7:AF25" si="14">T7+(($V7+$W7+$X7+$Y7)*12/19)+$AB7</f>
        <v>633.09396848433039</v>
      </c>
      <c r="AG7" s="18">
        <f t="shared" ref="AG7:AG25" si="15">U7+(($V7+$W7+$X7+$Y7)*12/19)+$AC7</f>
        <v>633.09396848433039</v>
      </c>
      <c r="AI7" s="16" t="str">
        <f t="shared" ref="AI7:AI25" si="16">B7</f>
        <v>APS Nova Prata</v>
      </c>
      <c r="AJ7" s="53">
        <f>VLOOKUP(AI7,Unidades!D$5:H$23,5,)</f>
        <v>0.28489999999999999</v>
      </c>
      <c r="AK7" s="35">
        <f t="shared" ref="AK7:AK25" si="17">AD7*(1+$AJ7)</f>
        <v>758.35935554116736</v>
      </c>
      <c r="AL7" s="35">
        <f t="shared" ref="AL7:AL25" si="18">AE7*(1+$AJ7)</f>
        <v>868.56552466986477</v>
      </c>
      <c r="AM7" s="35">
        <f t="shared" ref="AM7:AM25" si="19">AF7*(1+$AJ7)</f>
        <v>813.46244010551607</v>
      </c>
      <c r="AN7" s="35">
        <f t="shared" ref="AN7:AN25" si="20">AG7*(1+$AJ7)</f>
        <v>813.46244010551607</v>
      </c>
      <c r="AO7" s="35">
        <f t="shared" ref="AO7:AO25" si="21">((AK7*12)+(AL7*4)+(AM7*2)+AN7)/12</f>
        <v>1251.2468071241681</v>
      </c>
      <c r="AP7" s="35">
        <f>AO7*3</f>
        <v>3753.740421372504</v>
      </c>
      <c r="AQ7" s="35">
        <f t="shared" ref="AQ7:AQ25" si="22">AO7+AP7</f>
        <v>5004.9872284966723</v>
      </c>
      <c r="AR7" s="54"/>
      <c r="AS7" s="55" t="s">
        <v>78</v>
      </c>
      <c r="AT7" s="35">
        <f>AK26</f>
        <v>16533.358452897366</v>
      </c>
      <c r="AU7" s="35">
        <f>AL26</f>
        <v>18952.822294100348</v>
      </c>
      <c r="AV7" s="35">
        <f>AM26</f>
        <v>19930.97459243748</v>
      </c>
      <c r="AW7" s="35">
        <f>AN26</f>
        <v>38992.479781888389</v>
      </c>
    </row>
    <row r="8" spans="2:49" s="3" customFormat="1" ht="15" customHeight="1">
      <c r="B8" s="165" t="s">
        <v>79</v>
      </c>
      <c r="C8" s="49">
        <f>VLOOKUP($B8,Unidades!$D$5:$N$23,6,FALSE())</f>
        <v>2205.75</v>
      </c>
      <c r="D8" s="49">
        <f>VLOOKUP($B8,Unidades!$D$5:$N$23,7,FALSE())</f>
        <v>735.25</v>
      </c>
      <c r="E8" s="49">
        <f>VLOOKUP($B8,Unidades!$D$5:$N$23,8,FALSE())</f>
        <v>735.25</v>
      </c>
      <c r="F8" s="49">
        <f>VLOOKUP($B8,Unidades!$D$5:$N$23,9,FALSE())</f>
        <v>735.25</v>
      </c>
      <c r="G8" s="49">
        <f t="shared" si="0"/>
        <v>1066.1125</v>
      </c>
      <c r="H8" s="50">
        <f t="shared" si="1"/>
        <v>2</v>
      </c>
      <c r="I8" s="50">
        <f t="shared" si="2"/>
        <v>2.4</v>
      </c>
      <c r="J8" s="50" t="str">
        <f>VLOOKUP($B8,Unidades!$D$5:$N$23,10,FALSE())</f>
        <v>NÃO</v>
      </c>
      <c r="K8" s="50" t="str">
        <f>VLOOKUP($B8,Unidades!$D$5:$N$23,11,FALSE())</f>
        <v>NÃO</v>
      </c>
      <c r="L8" s="50">
        <f t="shared" si="3"/>
        <v>2.2000000000000002</v>
      </c>
      <c r="M8" s="50">
        <f t="shared" si="4"/>
        <v>2.2000000000000002</v>
      </c>
      <c r="N8" s="50">
        <f t="shared" si="5"/>
        <v>40.200000000000003</v>
      </c>
      <c r="O8" s="51">
        <f t="shared" si="6"/>
        <v>1964.5452972000003</v>
      </c>
      <c r="P8" s="52"/>
      <c r="Q8" s="16" t="str">
        <f t="shared" si="7"/>
        <v>APS Vacaria</v>
      </c>
      <c r="R8" s="18">
        <f t="shared" si="8"/>
        <v>97.738572000000005</v>
      </c>
      <c r="S8" s="18">
        <f t="shared" si="9"/>
        <v>117.28628639999999</v>
      </c>
      <c r="T8" s="18">
        <f t="shared" si="10"/>
        <v>107.51242920000001</v>
      </c>
      <c r="U8" s="18">
        <f t="shared" si="11"/>
        <v>107.51242920000001</v>
      </c>
      <c r="V8" s="18">
        <f>VLOOKUP(Q8,'Desl. Base PF'!$C$5:$S$23,13,FALSE())*($C$29+$D$29+$E$29*(VLOOKUP(Q8,'Desl. Base PF'!$C$5:$S$23,17,FALSE())/12))</f>
        <v>130.72534005</v>
      </c>
      <c r="W8" s="18">
        <f>VLOOKUP(Q8,'Desl. Base PF'!$C$5:$S$23,15,FALSE())*(2+(VLOOKUP(Q8,'Desl. Base PF'!$C$5:$S$23,17,FALSE())/12))</f>
        <v>139.4</v>
      </c>
      <c r="X8" s="18">
        <f>VLOOKUP(Q8,'Desl. Base PF'!$C$5:$Q$25,14,FALSE())</f>
        <v>0</v>
      </c>
      <c r="Y8" s="18">
        <f>VLOOKUP(Q8,'Desl. Base PF'!$C$5:$Q$25,13,FALSE())*'Desl. Base PF'!$E$28+'Desl. Base PF'!$E$29*N8/12</f>
        <v>167.08274999999998</v>
      </c>
      <c r="Z8" s="18">
        <f>(H8/$AC$5)*'Equipe Técnica'!$C$13</f>
        <v>474.06296445522241</v>
      </c>
      <c r="AA8" s="18">
        <f>(I8/$AC$5)*'Equipe Técnica'!$C$13</f>
        <v>568.87555734626687</v>
      </c>
      <c r="AB8" s="18">
        <f>(L8/$AC$5)*'Equipe Técnica'!$C$13</f>
        <v>521.46926090074476</v>
      </c>
      <c r="AC8" s="18">
        <f>(M8/$AC$5)*'Equipe Técnica'!$C$13</f>
        <v>521.46926090074476</v>
      </c>
      <c r="AD8" s="18">
        <f t="shared" si="12"/>
        <v>847.93296174995919</v>
      </c>
      <c r="AE8" s="18">
        <f t="shared" si="13"/>
        <v>962.29326904100367</v>
      </c>
      <c r="AF8" s="18">
        <f t="shared" si="14"/>
        <v>905.1131153954816</v>
      </c>
      <c r="AG8" s="18">
        <f t="shared" si="15"/>
        <v>905.1131153954816</v>
      </c>
      <c r="AI8" s="16" t="str">
        <f t="shared" si="16"/>
        <v>APS Vacaria</v>
      </c>
      <c r="AJ8" s="53">
        <f>VLOOKUP(AI8,Unidades!D$5:H$23,5,)</f>
        <v>0.2707</v>
      </c>
      <c r="AK8" s="35">
        <f t="shared" si="17"/>
        <v>1077.4684144956732</v>
      </c>
      <c r="AL8" s="35">
        <f t="shared" si="18"/>
        <v>1222.7860569704033</v>
      </c>
      <c r="AM8" s="35">
        <f t="shared" si="19"/>
        <v>1150.1272357330383</v>
      </c>
      <c r="AN8" s="35">
        <f t="shared" si="20"/>
        <v>1150.1272357330383</v>
      </c>
      <c r="AO8" s="35">
        <f t="shared" si="21"/>
        <v>1772.5955757524005</v>
      </c>
      <c r="AP8" s="35">
        <f t="shared" ref="AP8:AP25" si="23">AO8*3</f>
        <v>5317.7867272572012</v>
      </c>
      <c r="AQ8" s="35">
        <f t="shared" si="22"/>
        <v>7090.3823030096019</v>
      </c>
      <c r="AR8" s="54"/>
      <c r="AS8" s="55" t="s">
        <v>80</v>
      </c>
      <c r="AT8" s="35">
        <f>AT7*12</f>
        <v>198400.30143476839</v>
      </c>
      <c r="AU8" s="35">
        <f>AU7*4</f>
        <v>75811.289176401391</v>
      </c>
      <c r="AV8" s="35">
        <f>AV7*2</f>
        <v>39861.94918487496</v>
      </c>
      <c r="AW8" s="35">
        <f>AW7</f>
        <v>38992.479781888389</v>
      </c>
    </row>
    <row r="9" spans="2:49" s="3" customFormat="1" ht="15" customHeight="1">
      <c r="B9" s="165" t="s">
        <v>81</v>
      </c>
      <c r="C9" s="49">
        <f>VLOOKUP($B9,Unidades!$D$5:$N$23,6,FALSE())</f>
        <v>824.48</v>
      </c>
      <c r="D9" s="49">
        <f>VLOOKUP($B9,Unidades!$D$5:$N$23,7,FALSE())</f>
        <v>416.95</v>
      </c>
      <c r="E9" s="49">
        <f>VLOOKUP($B9,Unidades!$D$5:$N$23,8,FALSE())</f>
        <v>407.53</v>
      </c>
      <c r="F9" s="49">
        <f>VLOOKUP($B9,Unidades!$D$5:$N$23,9,FALSE())</f>
        <v>0</v>
      </c>
      <c r="G9" s="49">
        <f t="shared" si="0"/>
        <v>559.58549999999991</v>
      </c>
      <c r="H9" s="50">
        <f t="shared" si="1"/>
        <v>1.5</v>
      </c>
      <c r="I9" s="50">
        <f t="shared" si="2"/>
        <v>1.7999999999999998</v>
      </c>
      <c r="J9" s="50" t="str">
        <f>VLOOKUP($B9,Unidades!$D$5:$N$23,10,FALSE())</f>
        <v>NÃO</v>
      </c>
      <c r="K9" s="50" t="str">
        <f>VLOOKUP($B9,Unidades!$D$5:$N$23,11,FALSE())</f>
        <v>SIM</v>
      </c>
      <c r="L9" s="50">
        <f t="shared" si="3"/>
        <v>1.6500000000000001</v>
      </c>
      <c r="M9" s="50">
        <f t="shared" si="4"/>
        <v>5.65</v>
      </c>
      <c r="N9" s="50">
        <f t="shared" si="5"/>
        <v>34.15</v>
      </c>
      <c r="O9" s="51">
        <f t="shared" si="6"/>
        <v>1855.1101168999999</v>
      </c>
      <c r="P9" s="52"/>
      <c r="Q9" s="16" t="str">
        <f t="shared" si="7"/>
        <v>APS Veranópolis</v>
      </c>
      <c r="R9" s="18">
        <f t="shared" si="8"/>
        <v>73.303929000000011</v>
      </c>
      <c r="S9" s="18">
        <f t="shared" si="9"/>
        <v>87.964714799999996</v>
      </c>
      <c r="T9" s="18">
        <f t="shared" si="10"/>
        <v>80.634321900000018</v>
      </c>
      <c r="U9" s="18">
        <f t="shared" si="11"/>
        <v>462.33546590000003</v>
      </c>
      <c r="V9" s="18">
        <f>VLOOKUP(Q9,'Desl. Base PF'!$C$5:$S$23,13,FALSE())*($C$29+$D$29+$E$29*(VLOOKUP(Q9,'Desl. Base PF'!$C$5:$S$23,17,FALSE())/12))</f>
        <v>116.5660264388889</v>
      </c>
      <c r="W9" s="18">
        <f>VLOOKUP(Q9,'Desl. Base PF'!$C$5:$S$23,15,FALSE())*(2+(VLOOKUP(Q9,'Desl. Base PF'!$C$5:$S$23,17,FALSE())/12))</f>
        <v>0</v>
      </c>
      <c r="X9" s="18">
        <f>VLOOKUP(Q9,'Desl. Base PF'!$C$5:$Q$25,14,FALSE())</f>
        <v>0</v>
      </c>
      <c r="Y9" s="18">
        <f>VLOOKUP(Q9,'Desl. Base PF'!$C$5:$Q$25,13,FALSE())*'Desl. Base PF'!$E$28+'Desl. Base PF'!$E$29*N9/12</f>
        <v>141.17699999999999</v>
      </c>
      <c r="Z9" s="18">
        <f>(H9/$AC$5)*'Equipe Técnica'!$C$13</f>
        <v>355.54722334141678</v>
      </c>
      <c r="AA9" s="18">
        <f>(I9/$AC$5)*'Equipe Técnica'!$C$13</f>
        <v>426.65666800970013</v>
      </c>
      <c r="AB9" s="18">
        <f>(L9/$AC$5)*'Equipe Técnica'!$C$13</f>
        <v>391.10194567555851</v>
      </c>
      <c r="AC9" s="18">
        <f>(M9/$AC$5)*'Equipe Técnica'!$C$13</f>
        <v>1339.2278745860035</v>
      </c>
      <c r="AD9" s="18">
        <f t="shared" si="12"/>
        <v>591.6362216712414</v>
      </c>
      <c r="AE9" s="18">
        <f t="shared" si="13"/>
        <v>677.40645213952462</v>
      </c>
      <c r="AF9" s="18">
        <f t="shared" si="14"/>
        <v>634.52133690538312</v>
      </c>
      <c r="AG9" s="18">
        <f t="shared" si="15"/>
        <v>1964.3484098158281</v>
      </c>
      <c r="AI9" s="16" t="str">
        <f t="shared" si="16"/>
        <v>APS Veranópolis</v>
      </c>
      <c r="AJ9" s="53">
        <f>VLOOKUP(AI9,Unidades!D$5:H$23,5,)</f>
        <v>0.28489999999999999</v>
      </c>
      <c r="AK9" s="35">
        <f t="shared" si="17"/>
        <v>760.19338122537806</v>
      </c>
      <c r="AL9" s="35">
        <f t="shared" si="18"/>
        <v>870.39955035407513</v>
      </c>
      <c r="AM9" s="35">
        <f t="shared" si="19"/>
        <v>815.29646578972677</v>
      </c>
      <c r="AN9" s="35">
        <f t="shared" si="20"/>
        <v>2523.9912717723573</v>
      </c>
      <c r="AO9" s="35">
        <f t="shared" si="21"/>
        <v>1396.5419149560539</v>
      </c>
      <c r="AP9" s="35">
        <f t="shared" si="23"/>
        <v>4189.6257448681617</v>
      </c>
      <c r="AQ9" s="35">
        <f t="shared" si="22"/>
        <v>5586.1676598242157</v>
      </c>
      <c r="AR9" s="54"/>
      <c r="AS9" s="54"/>
      <c r="AT9" s="56"/>
      <c r="AU9" s="56"/>
      <c r="AV9" s="56"/>
      <c r="AW9" s="56"/>
    </row>
    <row r="10" spans="2:49" s="3" customFormat="1" ht="15" customHeight="1">
      <c r="B10" s="165" t="s">
        <v>82</v>
      </c>
      <c r="C10" s="49">
        <f>VLOOKUP($B10,Unidades!$D$5:$N$23,6,FALSE())</f>
        <v>2634.28</v>
      </c>
      <c r="D10" s="49">
        <f>VLOOKUP($B10,Unidades!$D$5:$N$23,7,FALSE())</f>
        <v>991.45</v>
      </c>
      <c r="E10" s="49">
        <f>VLOOKUP($B10,Unidades!$D$5:$N$23,8,FALSE())</f>
        <v>971.83</v>
      </c>
      <c r="F10" s="49">
        <f>VLOOKUP($B10,Unidades!$D$5:$N$23,9,FALSE())</f>
        <v>671</v>
      </c>
      <c r="G10" s="49">
        <f t="shared" si="0"/>
        <v>1398.6904999999999</v>
      </c>
      <c r="H10" s="50">
        <f t="shared" si="1"/>
        <v>2</v>
      </c>
      <c r="I10" s="50">
        <f t="shared" si="2"/>
        <v>2.4</v>
      </c>
      <c r="J10" s="50" t="str">
        <f>VLOOKUP($B10,Unidades!$D$5:$N$23,10,FALSE())</f>
        <v>SIM</v>
      </c>
      <c r="K10" s="50" t="str">
        <f>VLOOKUP($B10,Unidades!$D$5:$N$23,11,FALSE())</f>
        <v>SIM</v>
      </c>
      <c r="L10" s="50">
        <f t="shared" si="3"/>
        <v>4.2</v>
      </c>
      <c r="M10" s="50">
        <f t="shared" si="4"/>
        <v>8.1999999999999993</v>
      </c>
      <c r="N10" s="50">
        <f t="shared" si="5"/>
        <v>50.2</v>
      </c>
      <c r="O10" s="51">
        <f t="shared" si="6"/>
        <v>2723.5101572000003</v>
      </c>
      <c r="P10" s="52"/>
      <c r="Q10" s="16" t="str">
        <f t="shared" si="7"/>
        <v>APS Carazinho</v>
      </c>
      <c r="R10" s="18">
        <f t="shared" si="8"/>
        <v>97.738572000000005</v>
      </c>
      <c r="S10" s="18">
        <f t="shared" si="9"/>
        <v>117.28628639999999</v>
      </c>
      <c r="T10" s="18">
        <f t="shared" si="10"/>
        <v>205.25100120000002</v>
      </c>
      <c r="U10" s="18">
        <f t="shared" si="11"/>
        <v>671.00014519999991</v>
      </c>
      <c r="V10" s="18">
        <f>VLOOKUP(Q10,'Desl. Base PF'!$C$5:$S$23,13,FALSE())*($C$29+$D$29+$E$29*(VLOOKUP(Q10,'Desl. Base PF'!$C$5:$S$23,17,FALSE())/12))</f>
        <v>43.873559766666673</v>
      </c>
      <c r="W10" s="18">
        <f>VLOOKUP(Q10,'Desl. Base PF'!$C$5:$S$23,15,FALSE())*(2+(VLOOKUP(Q10,'Desl. Base PF'!$C$5:$S$23,17,FALSE())/12))</f>
        <v>0</v>
      </c>
      <c r="X10" s="18">
        <f>VLOOKUP(Q10,'Desl. Base PF'!$C$5:$Q$25,14,FALSE())</f>
        <v>0</v>
      </c>
      <c r="Y10" s="18">
        <f>VLOOKUP(Q10,'Desl. Base PF'!$C$5:$Q$25,13,FALSE())*'Desl. Base PF'!$E$28+'Desl. Base PF'!$E$29*N10/12</f>
        <v>74.237499999999997</v>
      </c>
      <c r="Z10" s="18">
        <f>(H10/$AC$5)*'Equipe Técnica'!$C$13</f>
        <v>474.06296445522241</v>
      </c>
      <c r="AA10" s="18">
        <f>(I10/$AC$5)*'Equipe Técnica'!$C$13</f>
        <v>568.87555734626687</v>
      </c>
      <c r="AB10" s="18">
        <f>(L10/$AC$5)*'Equipe Técnica'!$C$13</f>
        <v>995.53222535596717</v>
      </c>
      <c r="AC10" s="18">
        <f>(M10/$AC$5)*'Equipe Técnica'!$C$13</f>
        <v>1943.6581542664119</v>
      </c>
      <c r="AD10" s="18">
        <f t="shared" si="12"/>
        <v>646.39799525522244</v>
      </c>
      <c r="AE10" s="18">
        <f t="shared" si="13"/>
        <v>760.7583025462668</v>
      </c>
      <c r="AF10" s="18">
        <f t="shared" si="14"/>
        <v>1275.3796853559672</v>
      </c>
      <c r="AG10" s="18">
        <f t="shared" si="15"/>
        <v>2689.254758266412</v>
      </c>
      <c r="AI10" s="16" t="str">
        <f t="shared" si="16"/>
        <v>APS Carazinho</v>
      </c>
      <c r="AJ10" s="53">
        <f>VLOOKUP(AI10,Unidades!D$5:H$23,5,)</f>
        <v>0.28489999999999999</v>
      </c>
      <c r="AK10" s="35">
        <f t="shared" si="17"/>
        <v>830.55678410343523</v>
      </c>
      <c r="AL10" s="35">
        <f t="shared" si="18"/>
        <v>977.49834294169818</v>
      </c>
      <c r="AM10" s="35">
        <f t="shared" si="19"/>
        <v>1638.7353577138822</v>
      </c>
      <c r="AN10" s="35">
        <f t="shared" si="20"/>
        <v>3455.4234388965124</v>
      </c>
      <c r="AO10" s="35">
        <f t="shared" si="21"/>
        <v>1717.4640779443578</v>
      </c>
      <c r="AP10" s="35">
        <f t="shared" si="23"/>
        <v>5152.3922338330731</v>
      </c>
      <c r="AQ10" s="35">
        <f t="shared" si="22"/>
        <v>6869.8563117774311</v>
      </c>
      <c r="AR10" s="54"/>
      <c r="AS10" s="57" t="s">
        <v>68</v>
      </c>
      <c r="AT10" s="201">
        <f>(SUM(AT8:AW8))/12</f>
        <v>29422.168298161094</v>
      </c>
      <c r="AU10" s="201"/>
      <c r="AV10" s="56"/>
      <c r="AW10" s="56"/>
    </row>
    <row r="11" spans="2:49" s="3" customFormat="1" ht="15" customHeight="1">
      <c r="B11" s="165" t="s">
        <v>83</v>
      </c>
      <c r="C11" s="49">
        <f>VLOOKUP($B11,Unidades!$D$5:$N$23,6,FALSE())</f>
        <v>548.83000000000004</v>
      </c>
      <c r="D11" s="49">
        <f>VLOOKUP($B11,Unidades!$D$5:$N$23,7,FALSE())</f>
        <v>421.87</v>
      </c>
      <c r="E11" s="49">
        <f>VLOOKUP($B11,Unidades!$D$5:$N$23,8,FALSE())</f>
        <v>126.96</v>
      </c>
      <c r="F11" s="49">
        <f>VLOOKUP($B11,Unidades!$D$5:$N$23,9,FALSE())</f>
        <v>0</v>
      </c>
      <c r="G11" s="49">
        <f t="shared" si="0"/>
        <v>466.30599999999998</v>
      </c>
      <c r="H11" s="50">
        <f t="shared" si="1"/>
        <v>1.5</v>
      </c>
      <c r="I11" s="50">
        <f t="shared" si="2"/>
        <v>1.7999999999999998</v>
      </c>
      <c r="J11" s="50" t="str">
        <f>VLOOKUP($B11,Unidades!$D$5:$N$23,10,FALSE())</f>
        <v>NÃO</v>
      </c>
      <c r="K11" s="50" t="str">
        <f>VLOOKUP($B11,Unidades!$D$5:$N$23,11,FALSE())</f>
        <v>SIM</v>
      </c>
      <c r="L11" s="50">
        <f t="shared" si="3"/>
        <v>1.6500000000000001</v>
      </c>
      <c r="M11" s="50">
        <f t="shared" si="4"/>
        <v>5.65</v>
      </c>
      <c r="N11" s="50">
        <f t="shared" si="5"/>
        <v>34.15</v>
      </c>
      <c r="O11" s="51">
        <f t="shared" si="6"/>
        <v>1855.1101168999999</v>
      </c>
      <c r="P11" s="52"/>
      <c r="Q11" s="16" t="str">
        <f t="shared" si="7"/>
        <v>APS Casca</v>
      </c>
      <c r="R11" s="18">
        <f t="shared" si="8"/>
        <v>73.303929000000011</v>
      </c>
      <c r="S11" s="18">
        <f t="shared" si="9"/>
        <v>87.964714799999996</v>
      </c>
      <c r="T11" s="18">
        <f t="shared" si="10"/>
        <v>80.634321900000018</v>
      </c>
      <c r="U11" s="18">
        <f t="shared" si="11"/>
        <v>462.33546590000003</v>
      </c>
      <c r="V11" s="18">
        <f>VLOOKUP(Q11,'Desl. Base PF'!$C$5:$S$23,13,FALSE())*($C$29+$D$29+$E$29*(VLOOKUP(Q11,'Desl. Base PF'!$C$5:$S$23,17,FALSE())/12))</f>
        <v>59.788478505555567</v>
      </c>
      <c r="W11" s="18">
        <f>VLOOKUP(Q11,'Desl. Base PF'!$C$5:$S$23,15,FALSE())*(2+(VLOOKUP(Q11,'Desl. Base PF'!$C$5:$S$23,17,FALSE())/12))</f>
        <v>0</v>
      </c>
      <c r="X11" s="18">
        <f>VLOOKUP(Q11,'Desl. Base PF'!$C$5:$Q$25,14,FALSE())</f>
        <v>0</v>
      </c>
      <c r="Y11" s="18">
        <f>VLOOKUP(Q11,'Desl. Base PF'!$C$5:$Q$25,13,FALSE())*'Desl. Base PF'!$E$28+'Desl. Base PF'!$E$29*N11/12</f>
        <v>81.81</v>
      </c>
      <c r="Z11" s="18">
        <f>(H11/$AC$5)*'Equipe Técnica'!$C$13</f>
        <v>355.54722334141678</v>
      </c>
      <c r="AA11" s="18">
        <f>(I11/$AC$5)*'Equipe Técnica'!$C$13</f>
        <v>426.65666800970013</v>
      </c>
      <c r="AB11" s="18">
        <f>(L11/$AC$5)*'Equipe Técnica'!$C$13</f>
        <v>391.10194567555851</v>
      </c>
      <c r="AC11" s="18">
        <f>(M11/$AC$5)*'Equipe Técnica'!$C$13</f>
        <v>1339.2278745860035</v>
      </c>
      <c r="AD11" s="18">
        <f t="shared" si="12"/>
        <v>518.28177034492558</v>
      </c>
      <c r="AE11" s="18">
        <f t="shared" si="13"/>
        <v>604.05200081320891</v>
      </c>
      <c r="AF11" s="18">
        <f t="shared" si="14"/>
        <v>561.1668855790673</v>
      </c>
      <c r="AG11" s="18">
        <f t="shared" si="15"/>
        <v>1890.9939584895124</v>
      </c>
      <c r="AI11" s="16" t="str">
        <f t="shared" si="16"/>
        <v>APS Casca</v>
      </c>
      <c r="AJ11" s="53">
        <f>VLOOKUP(AI11,Unidades!D$5:H$23,5,)</f>
        <v>0.2707</v>
      </c>
      <c r="AK11" s="35">
        <f t="shared" si="17"/>
        <v>658.58064557729688</v>
      </c>
      <c r="AL11" s="35">
        <f t="shared" si="18"/>
        <v>767.56887743334448</v>
      </c>
      <c r="AM11" s="35">
        <f t="shared" si="19"/>
        <v>713.07476150532079</v>
      </c>
      <c r="AN11" s="35">
        <f t="shared" si="20"/>
        <v>2402.8860230526234</v>
      </c>
      <c r="AO11" s="35">
        <f t="shared" si="21"/>
        <v>1233.5232335603505</v>
      </c>
      <c r="AP11" s="35">
        <f t="shared" si="23"/>
        <v>3700.5697006810515</v>
      </c>
      <c r="AQ11" s="35">
        <f t="shared" si="22"/>
        <v>4934.092934241402</v>
      </c>
      <c r="AR11" s="54"/>
      <c r="AS11" s="57" t="s">
        <v>84</v>
      </c>
      <c r="AT11" s="201">
        <f>AT10*12</f>
        <v>353066.01957793313</v>
      </c>
      <c r="AU11" s="201"/>
      <c r="AV11" s="56"/>
      <c r="AW11" s="56"/>
    </row>
    <row r="12" spans="2:49" s="3" customFormat="1" ht="15" customHeight="1">
      <c r="B12" s="165" t="s">
        <v>85</v>
      </c>
      <c r="C12" s="49">
        <f>VLOOKUP($B12,Unidades!$D$5:$N$23,6,FALSE())</f>
        <v>2708.27</v>
      </c>
      <c r="D12" s="49">
        <f>VLOOKUP($B12,Unidades!$D$5:$N$23,7,FALSE())</f>
        <v>1355.18</v>
      </c>
      <c r="E12" s="49">
        <f>VLOOKUP($B12,Unidades!$D$5:$N$23,8,FALSE())</f>
        <v>1078.3</v>
      </c>
      <c r="F12" s="49">
        <f>VLOOKUP($B12,Unidades!$D$5:$N$23,9,FALSE())</f>
        <v>274.79000000000002</v>
      </c>
      <c r="G12" s="49">
        <f t="shared" si="0"/>
        <v>1760.0640000000001</v>
      </c>
      <c r="H12" s="50">
        <f t="shared" si="1"/>
        <v>2</v>
      </c>
      <c r="I12" s="50">
        <f t="shared" si="2"/>
        <v>2.4</v>
      </c>
      <c r="J12" s="50" t="str">
        <f>VLOOKUP($B12,Unidades!$D$5:$N$23,10,FALSE())</f>
        <v>NÃO</v>
      </c>
      <c r="K12" s="50" t="str">
        <f>VLOOKUP($B12,Unidades!$D$5:$N$23,11,FALSE())</f>
        <v>SIM</v>
      </c>
      <c r="L12" s="50">
        <f t="shared" si="3"/>
        <v>2.2000000000000002</v>
      </c>
      <c r="M12" s="50">
        <f t="shared" si="4"/>
        <v>6.2</v>
      </c>
      <c r="N12" s="50">
        <f t="shared" si="5"/>
        <v>44.2</v>
      </c>
      <c r="O12" s="51">
        <f t="shared" si="6"/>
        <v>2364.3744412000001</v>
      </c>
      <c r="P12" s="52"/>
      <c r="Q12" s="16" t="str">
        <f t="shared" si="7"/>
        <v>APS Erechim</v>
      </c>
      <c r="R12" s="18">
        <f t="shared" si="8"/>
        <v>97.738572000000005</v>
      </c>
      <c r="S12" s="18">
        <f t="shared" si="9"/>
        <v>117.28628639999999</v>
      </c>
      <c r="T12" s="18">
        <f t="shared" si="10"/>
        <v>107.51242920000001</v>
      </c>
      <c r="U12" s="18">
        <f t="shared" si="11"/>
        <v>507.34157319999997</v>
      </c>
      <c r="V12" s="18">
        <f>VLOOKUP(Q12,'Desl. Base PF'!$C$5:$S$23,13,FALSE())*($C$29+$D$29+$E$29*(VLOOKUP(Q12,'Desl. Base PF'!$C$5:$S$23,17,FALSE())/12))</f>
        <v>77.423929000000015</v>
      </c>
      <c r="W12" s="18">
        <f>VLOOKUP(Q12,'Desl. Base PF'!$C$5:$S$23,15,FALSE())*(2+(VLOOKUP(Q12,'Desl. Base PF'!$C$5:$S$23,17,FALSE())/12))</f>
        <v>0</v>
      </c>
      <c r="X12" s="18">
        <f>VLOOKUP(Q12,'Desl. Base PF'!$C$5:$Q$25,14,FALSE())</f>
        <v>2.4500000000000002</v>
      </c>
      <c r="Y12" s="18">
        <f>VLOOKUP(Q12,'Desl. Base PF'!$C$5:$Q$25,13,FALSE())*'Desl. Base PF'!$E$28+'Desl. Base PF'!$E$29*N12/12</f>
        <v>105.928</v>
      </c>
      <c r="Z12" s="18">
        <f>(H12/$AC$5)*'Equipe Técnica'!$C$13</f>
        <v>474.06296445522241</v>
      </c>
      <c r="AA12" s="18">
        <f>(I12/$AC$5)*'Equipe Técnica'!$C$13</f>
        <v>568.87555734626687</v>
      </c>
      <c r="AB12" s="18">
        <f>(L12/$AC$5)*'Equipe Técnica'!$C$13</f>
        <v>521.46926090074476</v>
      </c>
      <c r="AC12" s="18">
        <f>(M12/$AC$5)*'Equipe Técnica'!$C$13</f>
        <v>1469.5951898111898</v>
      </c>
      <c r="AD12" s="18">
        <f t="shared" si="12"/>
        <v>689.15012319206448</v>
      </c>
      <c r="AE12" s="18">
        <f t="shared" si="13"/>
        <v>803.51043048310908</v>
      </c>
      <c r="AF12" s="18">
        <f t="shared" si="14"/>
        <v>746.33027683758689</v>
      </c>
      <c r="AG12" s="18">
        <f t="shared" si="15"/>
        <v>2094.2853497480319</v>
      </c>
      <c r="AI12" s="16" t="str">
        <f t="shared" si="16"/>
        <v>APS Erechim</v>
      </c>
      <c r="AJ12" s="53">
        <f>VLOOKUP(AI12,Unidades!D$5:H$23,5,)</f>
        <v>0.31419999999999998</v>
      </c>
      <c r="AK12" s="35">
        <f t="shared" si="17"/>
        <v>905.68109189901122</v>
      </c>
      <c r="AL12" s="35">
        <f t="shared" si="18"/>
        <v>1055.9734077409021</v>
      </c>
      <c r="AM12" s="35">
        <f t="shared" si="19"/>
        <v>980.82724981995671</v>
      </c>
      <c r="AN12" s="35">
        <f t="shared" si="20"/>
        <v>2752.3098066388634</v>
      </c>
      <c r="AO12" s="35">
        <f t="shared" si="21"/>
        <v>1650.5025866692097</v>
      </c>
      <c r="AP12" s="35">
        <f t="shared" si="23"/>
        <v>4951.5077600076293</v>
      </c>
      <c r="AQ12" s="35">
        <f t="shared" si="22"/>
        <v>6602.0103466768387</v>
      </c>
      <c r="AR12" s="54"/>
      <c r="AS12" s="57" t="s">
        <v>69</v>
      </c>
      <c r="AT12" s="201">
        <f>AP26</f>
        <v>88266.504894483311</v>
      </c>
      <c r="AU12" s="201"/>
      <c r="AV12" s="54"/>
      <c r="AW12" s="54"/>
    </row>
    <row r="13" spans="2:49" s="3" customFormat="1" ht="15" customHeight="1">
      <c r="B13" s="165" t="s">
        <v>86</v>
      </c>
      <c r="C13" s="49">
        <f>VLOOKUP($B13,Unidades!$D$5:$N$23,6,FALSE())</f>
        <v>798.65</v>
      </c>
      <c r="D13" s="49">
        <f>VLOOKUP($B13,Unidades!$D$5:$N$23,7,FALSE())</f>
        <v>287.86</v>
      </c>
      <c r="E13" s="49">
        <f>VLOOKUP($B13,Unidades!$D$5:$N$23,8,FALSE())</f>
        <v>55.73</v>
      </c>
      <c r="F13" s="49">
        <f>VLOOKUP($B13,Unidades!$D$5:$N$23,9,FALSE())</f>
        <v>455.06</v>
      </c>
      <c r="G13" s="49">
        <f t="shared" si="0"/>
        <v>352.87149999999997</v>
      </c>
      <c r="H13" s="50">
        <f t="shared" si="1"/>
        <v>1.5</v>
      </c>
      <c r="I13" s="50">
        <f t="shared" si="2"/>
        <v>1.7999999999999998</v>
      </c>
      <c r="J13" s="50" t="str">
        <f>VLOOKUP($B13,Unidades!$D$5:$N$23,10,FALSE())</f>
        <v>NÃO</v>
      </c>
      <c r="K13" s="50" t="str">
        <f>VLOOKUP($B13,Unidades!$D$5:$N$23,11,FALSE())</f>
        <v>NÃO</v>
      </c>
      <c r="L13" s="50">
        <f t="shared" si="3"/>
        <v>1.6500000000000001</v>
      </c>
      <c r="M13" s="50">
        <f t="shared" si="4"/>
        <v>1.6500000000000001</v>
      </c>
      <c r="N13" s="50">
        <f t="shared" si="5"/>
        <v>30.15</v>
      </c>
      <c r="O13" s="51">
        <f t="shared" si="6"/>
        <v>1473.4089729</v>
      </c>
      <c r="P13" s="52"/>
      <c r="Q13" s="16" t="str">
        <f t="shared" si="7"/>
        <v>APS Espumoso</v>
      </c>
      <c r="R13" s="18">
        <f t="shared" si="8"/>
        <v>73.303929000000011</v>
      </c>
      <c r="S13" s="18">
        <f t="shared" si="9"/>
        <v>87.964714799999996</v>
      </c>
      <c r="T13" s="18">
        <f t="shared" si="10"/>
        <v>80.634321900000018</v>
      </c>
      <c r="U13" s="18">
        <f t="shared" si="11"/>
        <v>80.634321900000018</v>
      </c>
      <c r="V13" s="18">
        <f>VLOOKUP(Q13,'Desl. Base PF'!$C$5:$S$23,13,FALSE())*($C$29+$D$29+$E$29*(VLOOKUP(Q13,'Desl. Base PF'!$C$5:$S$23,17,FALSE())/12))</f>
        <v>78.284194877777779</v>
      </c>
      <c r="W13" s="18">
        <f>VLOOKUP(Q13,'Desl. Base PF'!$C$5:$S$23,15,FALSE())*(2+(VLOOKUP(Q13,'Desl. Base PF'!$C$5:$S$23,17,FALSE())/12))</f>
        <v>0</v>
      </c>
      <c r="X13" s="18">
        <f>VLOOKUP(Q13,'Desl. Base PF'!$C$5:$Q$25,14,FALSE())</f>
        <v>0</v>
      </c>
      <c r="Y13" s="18">
        <f>VLOOKUP(Q13,'Desl. Base PF'!$C$5:$Q$25,13,FALSE())*'Desl. Base PF'!$E$28+'Desl. Base PF'!$E$29*N13/12</f>
        <v>98.889250000000004</v>
      </c>
      <c r="Z13" s="18">
        <f>(H13/$AC$5)*'Equipe Técnica'!$C$13</f>
        <v>355.54722334141678</v>
      </c>
      <c r="AA13" s="18">
        <f>(I13/$AC$5)*'Equipe Técnica'!$C$13</f>
        <v>426.65666800970013</v>
      </c>
      <c r="AB13" s="18">
        <f>(L13/$AC$5)*'Equipe Técnica'!$C$13</f>
        <v>391.10194567555851</v>
      </c>
      <c r="AC13" s="18">
        <f>(M13/$AC$5)*'Equipe Técnica'!$C$13</f>
        <v>391.10194567555851</v>
      </c>
      <c r="AD13" s="18">
        <f t="shared" si="12"/>
        <v>540.7501701589606</v>
      </c>
      <c r="AE13" s="18">
        <f t="shared" si="13"/>
        <v>626.52040062724404</v>
      </c>
      <c r="AF13" s="18">
        <f t="shared" si="14"/>
        <v>583.63528539310244</v>
      </c>
      <c r="AG13" s="18">
        <f t="shared" si="15"/>
        <v>583.63528539310244</v>
      </c>
      <c r="AI13" s="16" t="str">
        <f t="shared" si="16"/>
        <v>APS Espumoso</v>
      </c>
      <c r="AJ13" s="53">
        <f>VLOOKUP(AI13,Unidades!D$5:H$23,5,)</f>
        <v>0.2994</v>
      </c>
      <c r="AK13" s="35">
        <f t="shared" si="17"/>
        <v>702.65077110455331</v>
      </c>
      <c r="AL13" s="35">
        <f t="shared" si="18"/>
        <v>814.10060857504084</v>
      </c>
      <c r="AM13" s="35">
        <f t="shared" si="19"/>
        <v>758.37568983979725</v>
      </c>
      <c r="AN13" s="35">
        <f t="shared" si="20"/>
        <v>758.37568983979725</v>
      </c>
      <c r="AO13" s="35">
        <f t="shared" si="21"/>
        <v>1163.6115630895163</v>
      </c>
      <c r="AP13" s="35">
        <f t="shared" si="23"/>
        <v>3490.8346892685486</v>
      </c>
      <c r="AQ13" s="35">
        <f t="shared" si="22"/>
        <v>4654.4462523580651</v>
      </c>
      <c r="AR13" s="54"/>
      <c r="AS13" s="57" t="s">
        <v>87</v>
      </c>
      <c r="AT13" s="201">
        <f>AT12*12</f>
        <v>1059198.0587337997</v>
      </c>
      <c r="AU13" s="201"/>
      <c r="AV13" s="56"/>
      <c r="AW13" s="56"/>
    </row>
    <row r="14" spans="2:49" s="3" customFormat="1" ht="15" customHeight="1">
      <c r="B14" s="165" t="s">
        <v>88</v>
      </c>
      <c r="C14" s="49">
        <f>VLOOKUP($B14,Unidades!$D$5:$N$23,6,FALSE())</f>
        <v>334.4</v>
      </c>
      <c r="D14" s="49">
        <f>VLOOKUP($B14,Unidades!$D$5:$N$23,7,FALSE())</f>
        <v>296</v>
      </c>
      <c r="E14" s="49">
        <f>VLOOKUP($B14,Unidades!$D$5:$N$23,8,FALSE())</f>
        <v>38.4</v>
      </c>
      <c r="F14" s="49">
        <f>VLOOKUP($B14,Unidades!$D$5:$N$23,9,FALSE())</f>
        <v>0</v>
      </c>
      <c r="G14" s="49">
        <f t="shared" si="0"/>
        <v>309.44</v>
      </c>
      <c r="H14" s="50">
        <f t="shared" si="1"/>
        <v>1.5</v>
      </c>
      <c r="I14" s="50">
        <f t="shared" si="2"/>
        <v>1.7999999999999998</v>
      </c>
      <c r="J14" s="50" t="str">
        <f>VLOOKUP($B14,Unidades!$D$5:$N$23,10,FALSE())</f>
        <v>NÃO</v>
      </c>
      <c r="K14" s="50" t="str">
        <f>VLOOKUP($B14,Unidades!$D$5:$N$23,11,FALSE())</f>
        <v>NÃO</v>
      </c>
      <c r="L14" s="50">
        <f t="shared" si="3"/>
        <v>1.6500000000000001</v>
      </c>
      <c r="M14" s="50">
        <f t="shared" si="4"/>
        <v>1.6500000000000001</v>
      </c>
      <c r="N14" s="50">
        <f t="shared" si="5"/>
        <v>30.15</v>
      </c>
      <c r="O14" s="51">
        <f t="shared" si="6"/>
        <v>1473.4089729</v>
      </c>
      <c r="P14" s="52"/>
      <c r="Q14" s="16" t="str">
        <f t="shared" si="7"/>
        <v>APS Getúlio Vargas</v>
      </c>
      <c r="R14" s="18">
        <f t="shared" si="8"/>
        <v>73.303929000000011</v>
      </c>
      <c r="S14" s="18">
        <f t="shared" si="9"/>
        <v>87.964714799999996</v>
      </c>
      <c r="T14" s="18">
        <f t="shared" si="10"/>
        <v>80.634321900000018</v>
      </c>
      <c r="U14" s="18">
        <f t="shared" si="11"/>
        <v>80.634321900000018</v>
      </c>
      <c r="V14" s="18">
        <f>VLOOKUP(Q14,'Desl. Base PF'!$C$5:$S$23,13,FALSE())*($C$29+$D$29+$E$29*(VLOOKUP(Q14,'Desl. Base PF'!$C$5:$S$23,17,FALSE())/12))</f>
        <v>77.423929000000015</v>
      </c>
      <c r="W14" s="18">
        <f>VLOOKUP(Q14,'Desl. Base PF'!$C$5:$S$23,15,FALSE())*(2+(VLOOKUP(Q14,'Desl. Base PF'!$C$5:$S$23,17,FALSE())/12))</f>
        <v>0</v>
      </c>
      <c r="X14" s="18">
        <f>VLOOKUP(Q14,'Desl. Base PF'!$C$5:$Q$25,14,FALSE())</f>
        <v>2.4500000000000002</v>
      </c>
      <c r="Y14" s="18">
        <f>VLOOKUP(Q14,'Desl. Base PF'!$C$5:$Q$25,13,FALSE())*'Desl. Base PF'!$E$28+'Desl. Base PF'!$E$29*N14/12</f>
        <v>97.989750000000001</v>
      </c>
      <c r="Z14" s="18">
        <f>(H14/$AC$5)*'Equipe Técnica'!$C$13</f>
        <v>355.54722334141678</v>
      </c>
      <c r="AA14" s="18">
        <f>(I14/$AC$5)*'Equipe Técnica'!$C$13</f>
        <v>426.65666800970013</v>
      </c>
      <c r="AB14" s="18">
        <f>(L14/$AC$5)*'Equipe Técnica'!$C$13</f>
        <v>391.10194567555851</v>
      </c>
      <c r="AC14" s="18">
        <f>(M14/$AC$5)*'Equipe Técnica'!$C$13</f>
        <v>391.10194567555851</v>
      </c>
      <c r="AD14" s="18">
        <f t="shared" si="12"/>
        <v>541.18610749931156</v>
      </c>
      <c r="AE14" s="18">
        <f t="shared" si="13"/>
        <v>626.95633796759489</v>
      </c>
      <c r="AF14" s="18">
        <f t="shared" si="14"/>
        <v>584.07122273345328</v>
      </c>
      <c r="AG14" s="18">
        <f t="shared" si="15"/>
        <v>584.07122273345328</v>
      </c>
      <c r="AI14" s="16" t="str">
        <f t="shared" si="16"/>
        <v>APS Getúlio Vargas</v>
      </c>
      <c r="AJ14" s="53">
        <f>VLOOKUP(AI14,Unidades!D$5:H$23,5,)</f>
        <v>0.28489999999999999</v>
      </c>
      <c r="AK14" s="35">
        <f t="shared" si="17"/>
        <v>695.37002952586533</v>
      </c>
      <c r="AL14" s="35">
        <f t="shared" si="18"/>
        <v>805.57619865456263</v>
      </c>
      <c r="AM14" s="35">
        <f t="shared" si="19"/>
        <v>750.47311409021404</v>
      </c>
      <c r="AN14" s="35">
        <f t="shared" si="20"/>
        <v>750.47311409021404</v>
      </c>
      <c r="AO14" s="35">
        <f t="shared" si="21"/>
        <v>1151.5137075999398</v>
      </c>
      <c r="AP14" s="35">
        <f t="shared" si="23"/>
        <v>3454.5411227998193</v>
      </c>
      <c r="AQ14" s="35">
        <f t="shared" si="22"/>
        <v>4606.0548303997593</v>
      </c>
      <c r="AR14" s="54"/>
      <c r="AS14" s="57" t="s">
        <v>70</v>
      </c>
      <c r="AT14" s="201">
        <f>AT10+AT12</f>
        <v>117688.6731926444</v>
      </c>
      <c r="AU14" s="201"/>
      <c r="AV14" s="56"/>
      <c r="AW14" s="56"/>
    </row>
    <row r="15" spans="2:49" s="3" customFormat="1" ht="15" customHeight="1">
      <c r="B15" s="165" t="s">
        <v>89</v>
      </c>
      <c r="C15" s="49">
        <f>VLOOKUP($B15,Unidades!$D$5:$N$23,6,FALSE())</f>
        <v>1100.01</v>
      </c>
      <c r="D15" s="49">
        <f>VLOOKUP($B15,Unidades!$D$5:$N$23,7,FALSE())</f>
        <v>369.82</v>
      </c>
      <c r="E15" s="49">
        <f>VLOOKUP($B15,Unidades!$D$5:$N$23,8,FALSE())</f>
        <v>462.06</v>
      </c>
      <c r="F15" s="49">
        <f>VLOOKUP($B15,Unidades!$D$5:$N$23,9,FALSE())</f>
        <v>268.13</v>
      </c>
      <c r="G15" s="49">
        <f t="shared" si="0"/>
        <v>558.35399999999993</v>
      </c>
      <c r="H15" s="50">
        <f t="shared" si="1"/>
        <v>1.5</v>
      </c>
      <c r="I15" s="50">
        <f t="shared" si="2"/>
        <v>1.7999999999999998</v>
      </c>
      <c r="J15" s="50" t="str">
        <f>VLOOKUP($B15,Unidades!$D$5:$N$23,10,FALSE())</f>
        <v>SIM</v>
      </c>
      <c r="K15" s="50" t="str">
        <f>VLOOKUP($B15,Unidades!$D$5:$N$23,11,FALSE())</f>
        <v>NÃO</v>
      </c>
      <c r="L15" s="50">
        <f t="shared" si="3"/>
        <v>3.6500000000000004</v>
      </c>
      <c r="M15" s="50">
        <f t="shared" si="4"/>
        <v>3.6500000000000004</v>
      </c>
      <c r="N15" s="50">
        <f t="shared" si="5"/>
        <v>36.15</v>
      </c>
      <c r="O15" s="51">
        <f t="shared" si="6"/>
        <v>1766.6246888999999</v>
      </c>
      <c r="P15" s="52"/>
      <c r="Q15" s="16" t="str">
        <f t="shared" si="7"/>
        <v>APS Guaporé</v>
      </c>
      <c r="R15" s="18">
        <f t="shared" si="8"/>
        <v>73.303929000000011</v>
      </c>
      <c r="S15" s="18">
        <f t="shared" si="9"/>
        <v>87.964714799999996</v>
      </c>
      <c r="T15" s="18">
        <f t="shared" si="10"/>
        <v>178.37289390000004</v>
      </c>
      <c r="U15" s="18">
        <f t="shared" si="11"/>
        <v>178.37289390000004</v>
      </c>
      <c r="V15" s="18">
        <f>VLOOKUP(Q15,'Desl. Base PF'!$C$5:$S$23,13,FALSE())*($C$29+$D$29+$E$29*(VLOOKUP(Q15,'Desl. Base PF'!$C$5:$S$23,17,FALSE())/12))</f>
        <v>92.908714800000013</v>
      </c>
      <c r="W15" s="18">
        <f>VLOOKUP(Q15,'Desl. Base PF'!$C$5:$S$23,15,FALSE())*(2+(VLOOKUP(Q15,'Desl. Base PF'!$C$5:$S$23,17,FALSE())/12))</f>
        <v>0</v>
      </c>
      <c r="X15" s="18">
        <f>VLOOKUP(Q15,'Desl. Base PF'!$C$5:$Q$25,14,FALSE())</f>
        <v>0</v>
      </c>
      <c r="Y15" s="18">
        <f>VLOOKUP(Q15,'Desl. Base PF'!$C$5:$Q$25,13,FALSE())*'Desl. Base PF'!$E$28+'Desl. Base PF'!$E$29*N15/12</f>
        <v>117.57075</v>
      </c>
      <c r="Z15" s="18">
        <f>(H15/$AC$5)*'Equipe Técnica'!$C$13</f>
        <v>355.54722334141678</v>
      </c>
      <c r="AA15" s="18">
        <f>(I15/$AC$5)*'Equipe Técnica'!$C$13</f>
        <v>426.65666800970013</v>
      </c>
      <c r="AB15" s="18">
        <f>(L15/$AC$5)*'Equipe Técnica'!$C$13</f>
        <v>865.16491013078098</v>
      </c>
      <c r="AC15" s="18">
        <f>(M15/$AC$5)*'Equipe Técnica'!$C$13</f>
        <v>865.16491013078098</v>
      </c>
      <c r="AD15" s="18">
        <f t="shared" si="12"/>
        <v>561.78555116246946</v>
      </c>
      <c r="AE15" s="18">
        <f t="shared" si="13"/>
        <v>647.55578163075279</v>
      </c>
      <c r="AF15" s="18">
        <f t="shared" si="14"/>
        <v>1176.4722028518336</v>
      </c>
      <c r="AG15" s="18">
        <f t="shared" si="15"/>
        <v>1176.4722028518336</v>
      </c>
      <c r="AI15" s="16" t="str">
        <f t="shared" si="16"/>
        <v>APS Guaporé</v>
      </c>
      <c r="AJ15" s="53">
        <f>VLOOKUP(AI15,Unidades!D$5:H$23,5,)</f>
        <v>0.2707</v>
      </c>
      <c r="AK15" s="35">
        <f t="shared" si="17"/>
        <v>713.86089986214995</v>
      </c>
      <c r="AL15" s="35">
        <f t="shared" si="18"/>
        <v>822.84913171819755</v>
      </c>
      <c r="AM15" s="35">
        <f t="shared" si="19"/>
        <v>1494.9432281638249</v>
      </c>
      <c r="AN15" s="35">
        <f t="shared" si="20"/>
        <v>1494.9432281638249</v>
      </c>
      <c r="AO15" s="35">
        <f t="shared" si="21"/>
        <v>1361.879750809172</v>
      </c>
      <c r="AP15" s="35">
        <f t="shared" si="23"/>
        <v>4085.6392524275161</v>
      </c>
      <c r="AQ15" s="35">
        <f t="shared" si="22"/>
        <v>5447.5190032366881</v>
      </c>
      <c r="AR15" s="54"/>
      <c r="AS15" s="57" t="s">
        <v>90</v>
      </c>
      <c r="AT15" s="201">
        <f>AT11+AT13</f>
        <v>1412264.078311733</v>
      </c>
      <c r="AU15" s="201"/>
      <c r="AV15" s="54"/>
      <c r="AW15" s="54"/>
    </row>
    <row r="16" spans="2:49" s="3" customFormat="1" ht="15" customHeight="1">
      <c r="B16" s="165" t="s">
        <v>91</v>
      </c>
      <c r="C16" s="49">
        <f>VLOOKUP($B16,Unidades!$D$5:$N$23,6,FALSE())</f>
        <v>1798.01</v>
      </c>
      <c r="D16" s="49">
        <f>VLOOKUP($B16,Unidades!$D$5:$N$23,7,FALSE())</f>
        <v>530.66</v>
      </c>
      <c r="E16" s="49">
        <f>VLOOKUP($B16,Unidades!$D$5:$N$23,8,FALSE())</f>
        <v>728.84</v>
      </c>
      <c r="F16" s="49">
        <f>VLOOKUP($B16,Unidades!$D$5:$N$23,9,FALSE())</f>
        <v>538.51</v>
      </c>
      <c r="G16" s="49">
        <f t="shared" si="0"/>
        <v>839.6049999999999</v>
      </c>
      <c r="H16" s="50">
        <f t="shared" si="1"/>
        <v>2</v>
      </c>
      <c r="I16" s="50">
        <f t="shared" si="2"/>
        <v>2.4</v>
      </c>
      <c r="J16" s="50" t="str">
        <f>VLOOKUP($B16,Unidades!$D$5:$N$23,10,FALSE())</f>
        <v>NÃO</v>
      </c>
      <c r="K16" s="50" t="str">
        <f>VLOOKUP($B16,Unidades!$D$5:$N$23,11,FALSE())</f>
        <v>NÃO</v>
      </c>
      <c r="L16" s="50">
        <f t="shared" si="3"/>
        <v>2.2000000000000002</v>
      </c>
      <c r="M16" s="50">
        <f t="shared" si="4"/>
        <v>2.2000000000000002</v>
      </c>
      <c r="N16" s="50">
        <f t="shared" si="5"/>
        <v>40.200000000000003</v>
      </c>
      <c r="O16" s="51">
        <f t="shared" si="6"/>
        <v>1964.5452972000003</v>
      </c>
      <c r="P16" s="52"/>
      <c r="Q16" s="16" t="str">
        <f t="shared" si="7"/>
        <v>APS Lagoa Vermelha</v>
      </c>
      <c r="R16" s="18">
        <f t="shared" si="8"/>
        <v>97.738572000000005</v>
      </c>
      <c r="S16" s="18">
        <f t="shared" si="9"/>
        <v>117.28628639999999</v>
      </c>
      <c r="T16" s="18">
        <f t="shared" si="10"/>
        <v>107.51242920000001</v>
      </c>
      <c r="U16" s="18">
        <f t="shared" si="11"/>
        <v>107.51242920000001</v>
      </c>
      <c r="V16" s="18">
        <f>VLOOKUP(Q16,'Desl. Base PF'!$C$5:$S$23,13,FALSE())*($C$29+$D$29+$E$29*(VLOOKUP(Q16,'Desl. Base PF'!$C$5:$S$23,17,FALSE())/12))</f>
        <v>130.72534005</v>
      </c>
      <c r="W16" s="18">
        <f>VLOOKUP(Q16,'Desl. Base PF'!$C$5:$S$23,15,FALSE())*(2+(VLOOKUP(Q16,'Desl. Base PF'!$C$5:$S$23,17,FALSE())/12))</f>
        <v>139.4</v>
      </c>
      <c r="X16" s="18">
        <f>VLOOKUP(Q16,'Desl. Base PF'!$C$5:$Q$25,14,FALSE())</f>
        <v>0</v>
      </c>
      <c r="Y16" s="18">
        <f>VLOOKUP(Q16,'Desl. Base PF'!$C$5:$Q$25,13,FALSE())*'Desl. Base PF'!$E$28+'Desl. Base PF'!$E$29*N16/12</f>
        <v>167.08274999999998</v>
      </c>
      <c r="Z16" s="18">
        <f>(H16/$AC$5)*'Equipe Técnica'!$C$13</f>
        <v>474.06296445522241</v>
      </c>
      <c r="AA16" s="18">
        <f>(I16/$AC$5)*'Equipe Técnica'!$C$13</f>
        <v>568.87555734626687</v>
      </c>
      <c r="AB16" s="18">
        <f>(L16/$AC$5)*'Equipe Técnica'!$C$13</f>
        <v>521.46926090074476</v>
      </c>
      <c r="AC16" s="18">
        <f>(M16/$AC$5)*'Equipe Técnica'!$C$13</f>
        <v>521.46926090074476</v>
      </c>
      <c r="AD16" s="18">
        <f t="shared" si="12"/>
        <v>847.93296174995919</v>
      </c>
      <c r="AE16" s="18">
        <f t="shared" si="13"/>
        <v>962.29326904100367</v>
      </c>
      <c r="AF16" s="18">
        <f t="shared" si="14"/>
        <v>905.1131153954816</v>
      </c>
      <c r="AG16" s="18">
        <f t="shared" si="15"/>
        <v>905.1131153954816</v>
      </c>
      <c r="AI16" s="16" t="str">
        <f t="shared" si="16"/>
        <v>APS Lagoa Vermelha</v>
      </c>
      <c r="AJ16" s="53">
        <f>VLOOKUP(AI16,Unidades!D$5:H$23,5,)</f>
        <v>0.28489999999999999</v>
      </c>
      <c r="AK16" s="35">
        <f t="shared" si="17"/>
        <v>1089.5090625525224</v>
      </c>
      <c r="AL16" s="35">
        <f t="shared" si="18"/>
        <v>1236.4506213907855</v>
      </c>
      <c r="AM16" s="35">
        <f t="shared" si="19"/>
        <v>1162.9798419716542</v>
      </c>
      <c r="AN16" s="35">
        <f t="shared" si="20"/>
        <v>1162.9798419716542</v>
      </c>
      <c r="AO16" s="35">
        <f t="shared" si="21"/>
        <v>1792.4042301756974</v>
      </c>
      <c r="AP16" s="35">
        <f t="shared" si="23"/>
        <v>5377.2126905270925</v>
      </c>
      <c r="AQ16" s="35">
        <f t="shared" si="22"/>
        <v>7169.6169207027897</v>
      </c>
      <c r="AR16" s="54"/>
      <c r="AS16" s="54"/>
      <c r="AT16" s="54"/>
      <c r="AU16" s="54"/>
      <c r="AV16" s="54"/>
      <c r="AW16" s="54"/>
    </row>
    <row r="17" spans="2:49" s="3" customFormat="1" ht="15" customHeight="1">
      <c r="B17" s="165" t="s">
        <v>92</v>
      </c>
      <c r="C17" s="49">
        <f>VLOOKUP($B17,Unidades!$D$5:$N$23,6,FALSE())</f>
        <v>321.99</v>
      </c>
      <c r="D17" s="49">
        <f>VLOOKUP($B17,Unidades!$D$5:$N$23,7,FALSE())</f>
        <v>317.68</v>
      </c>
      <c r="E17" s="49">
        <f>VLOOKUP($B17,Unidades!$D$5:$N$23,8,FALSE())</f>
        <v>4.3099999999999996</v>
      </c>
      <c r="F17" s="49">
        <f>VLOOKUP($B17,Unidades!$D$5:$N$23,9,FALSE())</f>
        <v>0</v>
      </c>
      <c r="G17" s="49">
        <f t="shared" si="0"/>
        <v>319.18850000000003</v>
      </c>
      <c r="H17" s="50">
        <f t="shared" si="1"/>
        <v>1.5</v>
      </c>
      <c r="I17" s="50">
        <f t="shared" si="2"/>
        <v>1.7999999999999998</v>
      </c>
      <c r="J17" s="50" t="str">
        <f>VLOOKUP($B17,Unidades!$D$5:$N$23,10,FALSE())</f>
        <v>NÃO</v>
      </c>
      <c r="K17" s="50" t="str">
        <f>VLOOKUP($B17,Unidades!$D$5:$N$23,11,FALSE())</f>
        <v>SIM</v>
      </c>
      <c r="L17" s="50">
        <f t="shared" si="3"/>
        <v>1.6500000000000001</v>
      </c>
      <c r="M17" s="50">
        <f t="shared" si="4"/>
        <v>5.65</v>
      </c>
      <c r="N17" s="50">
        <f t="shared" si="5"/>
        <v>34.15</v>
      </c>
      <c r="O17" s="51">
        <f t="shared" si="6"/>
        <v>1855.1101168999999</v>
      </c>
      <c r="P17" s="52"/>
      <c r="Q17" s="16" t="str">
        <f t="shared" si="7"/>
        <v>APS Marau</v>
      </c>
      <c r="R17" s="18">
        <f t="shared" si="8"/>
        <v>73.303929000000011</v>
      </c>
      <c r="S17" s="18">
        <f t="shared" si="9"/>
        <v>87.964714799999996</v>
      </c>
      <c r="T17" s="18">
        <f t="shared" si="10"/>
        <v>80.634321900000018</v>
      </c>
      <c r="U17" s="18">
        <f t="shared" si="11"/>
        <v>462.33546590000003</v>
      </c>
      <c r="V17" s="18">
        <f>VLOOKUP(Q17,'Desl. Base PF'!$C$5:$S$23,13,FALSE())*($C$29+$D$29+$E$29*(VLOOKUP(Q17,'Desl. Base PF'!$C$5:$S$23,17,FALSE())/12))</f>
        <v>59.788478505555567</v>
      </c>
      <c r="W17" s="18">
        <f>VLOOKUP(Q17,'Desl. Base PF'!$C$5:$S$23,15,FALSE())*(2+(VLOOKUP(Q17,'Desl. Base PF'!$C$5:$S$23,17,FALSE())/12))</f>
        <v>0</v>
      </c>
      <c r="X17" s="18">
        <f>VLOOKUP(Q17,'Desl. Base PF'!$C$5:$Q$25,14,FALSE())</f>
        <v>0</v>
      </c>
      <c r="Y17" s="18">
        <f>VLOOKUP(Q17,'Desl. Base PF'!$C$5:$Q$25,13,FALSE())*'Desl. Base PF'!$E$28+'Desl. Base PF'!$E$29*N17/12</f>
        <v>81.81</v>
      </c>
      <c r="Z17" s="18">
        <f>(H17/$AC$5)*'Equipe Técnica'!$C$13</f>
        <v>355.54722334141678</v>
      </c>
      <c r="AA17" s="18">
        <f>(I17/$AC$5)*'Equipe Técnica'!$C$13</f>
        <v>426.65666800970013</v>
      </c>
      <c r="AB17" s="18">
        <f>(L17/$AC$5)*'Equipe Técnica'!$C$13</f>
        <v>391.10194567555851</v>
      </c>
      <c r="AC17" s="18">
        <f>(M17/$AC$5)*'Equipe Técnica'!$C$13</f>
        <v>1339.2278745860035</v>
      </c>
      <c r="AD17" s="18">
        <f t="shared" si="12"/>
        <v>518.28177034492558</v>
      </c>
      <c r="AE17" s="18">
        <f t="shared" si="13"/>
        <v>604.05200081320891</v>
      </c>
      <c r="AF17" s="18">
        <f t="shared" si="14"/>
        <v>561.1668855790673</v>
      </c>
      <c r="AG17" s="18">
        <f t="shared" si="15"/>
        <v>1890.9939584895124</v>
      </c>
      <c r="AI17" s="16" t="str">
        <f t="shared" si="16"/>
        <v>APS Marau</v>
      </c>
      <c r="AJ17" s="53">
        <f>VLOOKUP(AI17,Unidades!D$5:H$23,5,)</f>
        <v>0.28489999999999999</v>
      </c>
      <c r="AK17" s="35">
        <f t="shared" si="17"/>
        <v>665.94024671619479</v>
      </c>
      <c r="AL17" s="35">
        <f t="shared" si="18"/>
        <v>776.14641584489209</v>
      </c>
      <c r="AM17" s="35">
        <f t="shared" si="19"/>
        <v>721.0433312805435</v>
      </c>
      <c r="AN17" s="35">
        <f t="shared" si="20"/>
        <v>2429.7381372631744</v>
      </c>
      <c r="AO17" s="35">
        <f t="shared" si="21"/>
        <v>1247.3077853165139</v>
      </c>
      <c r="AP17" s="35">
        <f t="shared" si="23"/>
        <v>3741.9233559495415</v>
      </c>
      <c r="AQ17" s="35">
        <f t="shared" si="22"/>
        <v>4989.2311412660556</v>
      </c>
      <c r="AR17" s="54"/>
      <c r="AS17" s="54"/>
      <c r="AT17" s="54"/>
      <c r="AU17" s="54"/>
      <c r="AV17" s="54"/>
      <c r="AW17" s="54"/>
    </row>
    <row r="18" spans="2:49" s="3" customFormat="1" ht="15" customHeight="1">
      <c r="B18" s="165" t="s">
        <v>93</v>
      </c>
      <c r="C18" s="49">
        <f>VLOOKUP($B18,Unidades!$D$5:$N$23,6,FALSE())</f>
        <v>334.4</v>
      </c>
      <c r="D18" s="49">
        <f>VLOOKUP($B18,Unidades!$D$5:$N$23,7,FALSE())</f>
        <v>296</v>
      </c>
      <c r="E18" s="49">
        <f>VLOOKUP($B18,Unidades!$D$5:$N$23,8,FALSE())</f>
        <v>38.4</v>
      </c>
      <c r="F18" s="49">
        <f>VLOOKUP($B18,Unidades!$D$5:$N$23,9,FALSE())</f>
        <v>0</v>
      </c>
      <c r="G18" s="49">
        <f t="shared" si="0"/>
        <v>309.44</v>
      </c>
      <c r="H18" s="50">
        <f t="shared" si="1"/>
        <v>1.5</v>
      </c>
      <c r="I18" s="50">
        <f t="shared" si="2"/>
        <v>1.7999999999999998</v>
      </c>
      <c r="J18" s="50" t="str">
        <f>VLOOKUP($B18,Unidades!$D$5:$N$23,10,FALSE())</f>
        <v>NÃO</v>
      </c>
      <c r="K18" s="50" t="str">
        <f>VLOOKUP($B18,Unidades!$D$5:$N$23,11,FALSE())</f>
        <v>NÃO</v>
      </c>
      <c r="L18" s="50">
        <f t="shared" si="3"/>
        <v>1.6500000000000001</v>
      </c>
      <c r="M18" s="50">
        <f t="shared" si="4"/>
        <v>1.6500000000000001</v>
      </c>
      <c r="N18" s="50">
        <f t="shared" si="5"/>
        <v>30.15</v>
      </c>
      <c r="O18" s="51">
        <f t="shared" si="6"/>
        <v>1473.4089729</v>
      </c>
      <c r="P18" s="52"/>
      <c r="Q18" s="16" t="str">
        <f t="shared" si="7"/>
        <v>APS Sarandi</v>
      </c>
      <c r="R18" s="18">
        <f t="shared" si="8"/>
        <v>73.303929000000011</v>
      </c>
      <c r="S18" s="18">
        <f t="shared" si="9"/>
        <v>87.964714799999996</v>
      </c>
      <c r="T18" s="18">
        <f t="shared" si="10"/>
        <v>80.634321900000018</v>
      </c>
      <c r="U18" s="18">
        <f t="shared" si="11"/>
        <v>80.634321900000018</v>
      </c>
      <c r="V18" s="18">
        <f>VLOOKUP(Q18,'Desl. Base PF'!$C$5:$S$23,13,FALSE())*($C$29+$D$29+$E$29*(VLOOKUP(Q18,'Desl. Base PF'!$C$5:$S$23,17,FALSE())/12))</f>
        <v>124.6166793</v>
      </c>
      <c r="W18" s="18">
        <f>VLOOKUP(Q18,'Desl. Base PF'!$C$5:$S$23,15,FALSE())*(2+(VLOOKUP(Q18,'Desl. Base PF'!$C$5:$S$23,17,FALSE())/12))</f>
        <v>0</v>
      </c>
      <c r="X18" s="18">
        <f>VLOOKUP(Q18,'Desl. Base PF'!$C$5:$Q$25,14,FALSE())</f>
        <v>0</v>
      </c>
      <c r="Y18" s="18">
        <f>VLOOKUP(Q18,'Desl. Base PF'!$C$5:$Q$25,13,FALSE())*'Desl. Base PF'!$E$28+'Desl. Base PF'!$E$29*N18/12</f>
        <v>154.65824999999998</v>
      </c>
      <c r="Z18" s="18">
        <f>(H18/$AC$5)*'Equipe Técnica'!$C$13</f>
        <v>355.54722334141678</v>
      </c>
      <c r="AA18" s="18">
        <f>(I18/$AC$5)*'Equipe Técnica'!$C$13</f>
        <v>426.65666800970013</v>
      </c>
      <c r="AB18" s="18">
        <f>(L18/$AC$5)*'Equipe Técnica'!$C$13</f>
        <v>391.10194567555851</v>
      </c>
      <c r="AC18" s="18">
        <f>(M18/$AC$5)*'Equipe Técnica'!$C$13</f>
        <v>391.10194567555851</v>
      </c>
      <c r="AD18" s="18">
        <f t="shared" si="12"/>
        <v>605.23531821510096</v>
      </c>
      <c r="AE18" s="18">
        <f t="shared" si="13"/>
        <v>691.0055486833844</v>
      </c>
      <c r="AF18" s="18">
        <f t="shared" si="14"/>
        <v>648.12043344924268</v>
      </c>
      <c r="AG18" s="18">
        <f t="shared" si="15"/>
        <v>648.12043344924268</v>
      </c>
      <c r="AI18" s="16" t="str">
        <f t="shared" si="16"/>
        <v>APS Sarandi</v>
      </c>
      <c r="AJ18" s="53">
        <f>VLOOKUP(AI18,Unidades!D$5:H$23,5,)</f>
        <v>0.31419999999999998</v>
      </c>
      <c r="AK18" s="35">
        <f t="shared" si="17"/>
        <v>795.40025519828566</v>
      </c>
      <c r="AL18" s="35">
        <f t="shared" si="18"/>
        <v>908.11949207970383</v>
      </c>
      <c r="AM18" s="35">
        <f t="shared" si="19"/>
        <v>851.7598736389948</v>
      </c>
      <c r="AN18" s="35">
        <f t="shared" si="20"/>
        <v>851.7598736389948</v>
      </c>
      <c r="AO18" s="35">
        <f t="shared" si="21"/>
        <v>1311.0467209679357</v>
      </c>
      <c r="AP18" s="35">
        <f t="shared" si="23"/>
        <v>3933.1401629038073</v>
      </c>
      <c r="AQ18" s="35">
        <f t="shared" si="22"/>
        <v>5244.1868838717428</v>
      </c>
      <c r="AR18" s="54"/>
      <c r="AS18" s="54"/>
      <c r="AT18" s="54"/>
      <c r="AU18" s="54"/>
      <c r="AV18" s="54"/>
      <c r="AW18" s="54"/>
    </row>
    <row r="19" spans="2:49" s="3" customFormat="1" ht="15" customHeight="1">
      <c r="B19" s="165" t="s">
        <v>94</v>
      </c>
      <c r="C19" s="49">
        <f>VLOOKUP($B19,Unidades!$D$5:$N$23,6,FALSE())</f>
        <v>548.83000000000004</v>
      </c>
      <c r="D19" s="49">
        <f>VLOOKUP($B19,Unidades!$D$5:$N$23,7,FALSE())</f>
        <v>421.87</v>
      </c>
      <c r="E19" s="49">
        <f>VLOOKUP($B19,Unidades!$D$5:$N$23,8,FALSE())</f>
        <v>126.96</v>
      </c>
      <c r="F19" s="49">
        <f>VLOOKUP($B19,Unidades!$D$5:$N$23,9,FALSE())</f>
        <v>0</v>
      </c>
      <c r="G19" s="49">
        <f t="shared" si="0"/>
        <v>466.30599999999998</v>
      </c>
      <c r="H19" s="50">
        <f t="shared" si="1"/>
        <v>1.5</v>
      </c>
      <c r="I19" s="50">
        <f t="shared" si="2"/>
        <v>1.7999999999999998</v>
      </c>
      <c r="J19" s="50" t="str">
        <f>VLOOKUP($B19,Unidades!$D$5:$N$23,10,FALSE())</f>
        <v>NÃO</v>
      </c>
      <c r="K19" s="50" t="str">
        <f>VLOOKUP($B19,Unidades!$D$5:$N$23,11,FALSE())</f>
        <v>SIM</v>
      </c>
      <c r="L19" s="50">
        <f t="shared" si="3"/>
        <v>1.6500000000000001</v>
      </c>
      <c r="M19" s="50">
        <f t="shared" si="4"/>
        <v>5.65</v>
      </c>
      <c r="N19" s="50">
        <f t="shared" si="5"/>
        <v>34.15</v>
      </c>
      <c r="O19" s="51">
        <f t="shared" si="6"/>
        <v>1855.1101168999999</v>
      </c>
      <c r="P19" s="52"/>
      <c r="Q19" s="16" t="str">
        <f t="shared" si="7"/>
        <v>APS Serafina Corrêa</v>
      </c>
      <c r="R19" s="18">
        <f t="shared" si="8"/>
        <v>73.303929000000011</v>
      </c>
      <c r="S19" s="18">
        <f t="shared" si="9"/>
        <v>87.964714799999996</v>
      </c>
      <c r="T19" s="18">
        <f t="shared" si="10"/>
        <v>80.634321900000018</v>
      </c>
      <c r="U19" s="18">
        <f t="shared" si="11"/>
        <v>462.33546590000003</v>
      </c>
      <c r="V19" s="18">
        <f>VLOOKUP(Q19,'Desl. Base PF'!$C$5:$S$23,13,FALSE())*($C$29+$D$29+$E$29*(VLOOKUP(Q19,'Desl. Base PF'!$C$5:$S$23,17,FALSE())/12))</f>
        <v>92.908714800000013</v>
      </c>
      <c r="W19" s="18">
        <f>VLOOKUP(Q19,'Desl. Base PF'!$C$5:$S$23,15,FALSE())*(2+(VLOOKUP(Q19,'Desl. Base PF'!$C$5:$S$23,17,FALSE())/12))</f>
        <v>0</v>
      </c>
      <c r="X19" s="18">
        <f>VLOOKUP(Q19,'Desl. Base PF'!$C$5:$Q$25,14,FALSE())</f>
        <v>0</v>
      </c>
      <c r="Y19" s="18">
        <f>VLOOKUP(Q19,'Desl. Base PF'!$C$5:$Q$25,13,FALSE())*'Desl. Base PF'!$E$28+'Desl. Base PF'!$E$29*N19/12</f>
        <v>116.44075000000001</v>
      </c>
      <c r="Z19" s="18">
        <f>(H19/$AC$5)*'Equipe Técnica'!$C$13</f>
        <v>355.54722334141678</v>
      </c>
      <c r="AA19" s="18">
        <f>(I19/$AC$5)*'Equipe Técnica'!$C$13</f>
        <v>426.65666800970013</v>
      </c>
      <c r="AB19" s="18">
        <f>(L19/$AC$5)*'Equipe Técnica'!$C$13</f>
        <v>391.10194567555851</v>
      </c>
      <c r="AC19" s="18">
        <f>(M19/$AC$5)*'Equipe Técnica'!$C$13</f>
        <v>1339.2278745860035</v>
      </c>
      <c r="AD19" s="18">
        <f t="shared" si="12"/>
        <v>561.07186695194309</v>
      </c>
      <c r="AE19" s="18">
        <f t="shared" si="13"/>
        <v>646.84209742022642</v>
      </c>
      <c r="AF19" s="18">
        <f t="shared" si="14"/>
        <v>603.95698218608482</v>
      </c>
      <c r="AG19" s="18">
        <f t="shared" si="15"/>
        <v>1933.7840550965298</v>
      </c>
      <c r="AI19" s="16" t="str">
        <f t="shared" si="16"/>
        <v>APS Serafina Corrêa</v>
      </c>
      <c r="AJ19" s="53">
        <f>VLOOKUP(AI19,Unidades!D$5:H$23,5,)</f>
        <v>0.27779999999999999</v>
      </c>
      <c r="AK19" s="35">
        <f t="shared" si="17"/>
        <v>716.93763159119294</v>
      </c>
      <c r="AL19" s="35">
        <f t="shared" si="18"/>
        <v>826.53483208356533</v>
      </c>
      <c r="AM19" s="35">
        <f t="shared" si="19"/>
        <v>771.73623183737925</v>
      </c>
      <c r="AN19" s="35">
        <f t="shared" si="20"/>
        <v>2470.9892656023458</v>
      </c>
      <c r="AO19" s="35">
        <f t="shared" si="21"/>
        <v>1326.9877197254734</v>
      </c>
      <c r="AP19" s="35">
        <f t="shared" si="23"/>
        <v>3980.96315917642</v>
      </c>
      <c r="AQ19" s="35">
        <f t="shared" si="22"/>
        <v>5307.9508789018937</v>
      </c>
      <c r="AR19" s="54"/>
      <c r="AS19" s="54"/>
      <c r="AT19" s="54"/>
      <c r="AU19" s="54"/>
      <c r="AV19" s="54"/>
      <c r="AW19" s="54"/>
    </row>
    <row r="20" spans="2:49" s="3" customFormat="1" ht="15" customHeight="1">
      <c r="B20" s="165" t="s">
        <v>95</v>
      </c>
      <c r="C20" s="49">
        <f>VLOOKUP($B20,Unidades!$D$5:$N$23,6,FALSE())</f>
        <v>2280.63</v>
      </c>
      <c r="D20" s="49">
        <f>VLOOKUP($B20,Unidades!$D$5:$N$23,7,FALSE())</f>
        <v>742.67</v>
      </c>
      <c r="E20" s="49">
        <f>VLOOKUP($B20,Unidades!$D$5:$N$23,8,FALSE())</f>
        <v>1114.42</v>
      </c>
      <c r="F20" s="49">
        <f>VLOOKUP($B20,Unidades!$D$5:$N$23,9,FALSE())</f>
        <v>423.54</v>
      </c>
      <c r="G20" s="49">
        <f t="shared" si="0"/>
        <v>1175.0710000000001</v>
      </c>
      <c r="H20" s="50">
        <f t="shared" si="1"/>
        <v>2</v>
      </c>
      <c r="I20" s="50">
        <f t="shared" si="2"/>
        <v>2.4</v>
      </c>
      <c r="J20" s="50" t="str">
        <f>VLOOKUP($B20,Unidades!$D$5:$N$23,10,FALSE())</f>
        <v>SIM</v>
      </c>
      <c r="K20" s="50" t="str">
        <f>VLOOKUP($B20,Unidades!$D$5:$N$23,11,FALSE())</f>
        <v>SIM</v>
      </c>
      <c r="L20" s="50">
        <f t="shared" si="3"/>
        <v>4.2</v>
      </c>
      <c r="M20" s="50">
        <f t="shared" si="4"/>
        <v>8.1999999999999993</v>
      </c>
      <c r="N20" s="50">
        <f t="shared" si="5"/>
        <v>50.2</v>
      </c>
      <c r="O20" s="51">
        <f t="shared" si="6"/>
        <v>2723.5101572000003</v>
      </c>
      <c r="P20" s="52"/>
      <c r="Q20" s="16" t="str">
        <f t="shared" si="7"/>
        <v>APS Soledade</v>
      </c>
      <c r="R20" s="18">
        <f t="shared" si="8"/>
        <v>97.738572000000005</v>
      </c>
      <c r="S20" s="18">
        <f t="shared" si="9"/>
        <v>117.28628639999999</v>
      </c>
      <c r="T20" s="18">
        <f t="shared" si="10"/>
        <v>205.25100120000002</v>
      </c>
      <c r="U20" s="18">
        <f t="shared" si="11"/>
        <v>671.00014519999991</v>
      </c>
      <c r="V20" s="18">
        <f>VLOOKUP(Q20,'Desl. Base PF'!$C$5:$S$23,13,FALSE())*($C$29+$D$29+$E$29*(VLOOKUP(Q20,'Desl. Base PF'!$C$5:$S$23,17,FALSE())/12))</f>
        <v>78.284194877777779</v>
      </c>
      <c r="W20" s="18">
        <f>VLOOKUP(Q20,'Desl. Base PF'!$C$5:$S$23,15,FALSE())*(2+(VLOOKUP(Q20,'Desl. Base PF'!$C$5:$S$23,17,FALSE())/12))</f>
        <v>0</v>
      </c>
      <c r="X20" s="18">
        <f>VLOOKUP(Q20,'Desl. Base PF'!$C$5:$Q$25,14,FALSE())</f>
        <v>0</v>
      </c>
      <c r="Y20" s="18">
        <f>VLOOKUP(Q20,'Desl. Base PF'!$C$5:$Q$25,13,FALSE())*'Desl. Base PF'!$E$28+'Desl. Base PF'!$E$29*N20/12</f>
        <v>110.2175</v>
      </c>
      <c r="Z20" s="18">
        <f>(H20/$AC$5)*'Equipe Técnica'!$C$13</f>
        <v>474.06296445522241</v>
      </c>
      <c r="AA20" s="18">
        <f>(I20/$AC$5)*'Equipe Técnica'!$C$13</f>
        <v>568.87555734626687</v>
      </c>
      <c r="AB20" s="18">
        <f>(L20/$AC$5)*'Equipe Técnica'!$C$13</f>
        <v>995.53222535596717</v>
      </c>
      <c r="AC20" s="18">
        <f>(M20/$AC$5)*'Equipe Técnica'!$C$13</f>
        <v>1943.6581542664119</v>
      </c>
      <c r="AD20" s="18">
        <f t="shared" si="12"/>
        <v>690.85523848329262</v>
      </c>
      <c r="AE20" s="18">
        <f t="shared" si="13"/>
        <v>805.21554577433699</v>
      </c>
      <c r="AF20" s="18">
        <f t="shared" si="14"/>
        <v>1319.8369285840374</v>
      </c>
      <c r="AG20" s="18">
        <f t="shared" si="15"/>
        <v>2733.7120014944821</v>
      </c>
      <c r="AI20" s="16" t="str">
        <f t="shared" si="16"/>
        <v>APS Soledade</v>
      </c>
      <c r="AJ20" s="53">
        <f>VLOOKUP(AI20,Unidades!D$5:H$23,5,)</f>
        <v>0.2707</v>
      </c>
      <c r="AK20" s="35">
        <f t="shared" si="17"/>
        <v>877.8697515407199</v>
      </c>
      <c r="AL20" s="35">
        <f t="shared" si="18"/>
        <v>1023.18739401545</v>
      </c>
      <c r="AM20" s="35">
        <f t="shared" si="19"/>
        <v>1677.1167851517362</v>
      </c>
      <c r="AN20" s="35">
        <f t="shared" si="20"/>
        <v>3473.7278402990382</v>
      </c>
      <c r="AO20" s="35">
        <f t="shared" si="21"/>
        <v>1787.9290004294126</v>
      </c>
      <c r="AP20" s="35">
        <f t="shared" si="23"/>
        <v>5363.7870012882377</v>
      </c>
      <c r="AQ20" s="35">
        <f t="shared" si="22"/>
        <v>7151.7160017176502</v>
      </c>
      <c r="AR20" s="54"/>
      <c r="AS20" s="54"/>
      <c r="AT20" s="54"/>
      <c r="AU20" s="54"/>
      <c r="AV20" s="54"/>
      <c r="AW20" s="54"/>
    </row>
    <row r="21" spans="2:49" s="3" customFormat="1" ht="15" customHeight="1">
      <c r="B21" s="165" t="s">
        <v>96</v>
      </c>
      <c r="C21" s="49">
        <f>VLOOKUP($B21,Unidades!$D$5:$N$23,6,FALSE())</f>
        <v>3609.84</v>
      </c>
      <c r="D21" s="49">
        <f>VLOOKUP($B21,Unidades!$D$5:$N$23,7,FALSE())</f>
        <v>2780.7</v>
      </c>
      <c r="E21" s="49">
        <f>VLOOKUP($B21,Unidades!$D$5:$N$23,8,FALSE())</f>
        <v>629.53</v>
      </c>
      <c r="F21" s="49">
        <f>VLOOKUP($B21,Unidades!$D$5:$N$23,9,FALSE())</f>
        <v>199.61</v>
      </c>
      <c r="G21" s="49">
        <f t="shared" si="0"/>
        <v>3020.9964999999997</v>
      </c>
      <c r="H21" s="50">
        <f t="shared" si="1"/>
        <v>3</v>
      </c>
      <c r="I21" s="50">
        <f t="shared" si="2"/>
        <v>3.5999999999999996</v>
      </c>
      <c r="J21" s="50" t="str">
        <f>VLOOKUP($B21,Unidades!$D$5:$N$23,10,FALSE())</f>
        <v>NÃO</v>
      </c>
      <c r="K21" s="50" t="str">
        <f>VLOOKUP($B21,Unidades!$D$5:$N$23,11,FALSE())</f>
        <v>SIM</v>
      </c>
      <c r="L21" s="50">
        <f t="shared" si="3"/>
        <v>3.3000000000000003</v>
      </c>
      <c r="M21" s="50">
        <f t="shared" si="4"/>
        <v>7.3000000000000007</v>
      </c>
      <c r="N21" s="50">
        <f t="shared" si="5"/>
        <v>64.3</v>
      </c>
      <c r="O21" s="51">
        <f t="shared" si="6"/>
        <v>3382.9030898000001</v>
      </c>
      <c r="P21" s="52"/>
      <c r="Q21" s="16" t="str">
        <f t="shared" si="7"/>
        <v>GEX/APS Passo Fundo</v>
      </c>
      <c r="R21" s="18">
        <f t="shared" si="8"/>
        <v>146.60785800000002</v>
      </c>
      <c r="S21" s="18">
        <f t="shared" si="9"/>
        <v>175.92942959999999</v>
      </c>
      <c r="T21" s="18">
        <f t="shared" si="10"/>
        <v>161.26864380000004</v>
      </c>
      <c r="U21" s="18">
        <f t="shared" si="11"/>
        <v>597.35378780000008</v>
      </c>
      <c r="V21" s="18">
        <f>VLOOKUP(Q21,'Desl. Base PF'!$C$5:$S$23,13,FALSE())*($C$29+$D$29+$E$29*(VLOOKUP(Q21,'Desl. Base PF'!$C$5:$S$23,17,FALSE())/12))</f>
        <v>43.873559766666673</v>
      </c>
      <c r="W21" s="18">
        <f>VLOOKUP(Q21,'Desl. Base PF'!$C$5:$S$23,15,FALSE())*(2+(VLOOKUP(Q21,'Desl. Base PF'!$C$5:$S$23,17,FALSE())/12))</f>
        <v>0</v>
      </c>
      <c r="X21" s="18">
        <f>VLOOKUP(Q21,'Desl. Base PF'!$C$5:$Q$25,14,FALSE())</f>
        <v>0</v>
      </c>
      <c r="Y21" s="18">
        <f>VLOOKUP(Q21,'Desl. Base PF'!$C$5:$Q$25,13,FALSE())*'Desl. Base PF'!$E$28+'Desl. Base PF'!$E$29*N21/12</f>
        <v>82.204000000000008</v>
      </c>
      <c r="Z21" s="18">
        <f>(H21/$AC$5)*'Equipe Técnica'!$C$13</f>
        <v>711.09444668283356</v>
      </c>
      <c r="AA21" s="18">
        <f>(I21/$AC$5)*'Equipe Técnica'!$C$13</f>
        <v>853.31333601940025</v>
      </c>
      <c r="AB21" s="18">
        <f>(L21/$AC$5)*'Equipe Técnica'!$C$13</f>
        <v>782.20389135111702</v>
      </c>
      <c r="AC21" s="18">
        <f>(M21/$AC$5)*'Equipe Técnica'!$C$13</f>
        <v>1730.329820261562</v>
      </c>
      <c r="AD21" s="18">
        <f t="shared" si="12"/>
        <v>937.33023716704406</v>
      </c>
      <c r="AE21" s="18">
        <f t="shared" si="13"/>
        <v>1108.8706981036107</v>
      </c>
      <c r="AF21" s="18">
        <f t="shared" si="14"/>
        <v>1023.1004676353276</v>
      </c>
      <c r="AG21" s="18">
        <f t="shared" si="15"/>
        <v>2407.3115405457725</v>
      </c>
      <c r="AI21" s="16" t="str">
        <f t="shared" si="16"/>
        <v>GEX/APS Passo Fundo</v>
      </c>
      <c r="AJ21" s="53">
        <f>VLOOKUP(AI21,Unidades!D$5:H$23,5,)</f>
        <v>0.2707</v>
      </c>
      <c r="AK21" s="35">
        <f t="shared" si="17"/>
        <v>1191.0655323681628</v>
      </c>
      <c r="AL21" s="35">
        <f t="shared" si="18"/>
        <v>1409.0419960802581</v>
      </c>
      <c r="AM21" s="35">
        <f t="shared" si="19"/>
        <v>1300.0537642242107</v>
      </c>
      <c r="AN21" s="35">
        <f t="shared" si="20"/>
        <v>3058.9707745715127</v>
      </c>
      <c r="AO21" s="35">
        <f t="shared" si="21"/>
        <v>2132.3360563132433</v>
      </c>
      <c r="AP21" s="35">
        <f t="shared" si="23"/>
        <v>6397.0081689397302</v>
      </c>
      <c r="AQ21" s="35">
        <f t="shared" si="22"/>
        <v>8529.344225252973</v>
      </c>
      <c r="AR21" s="54"/>
      <c r="AS21" s="54"/>
      <c r="AT21" s="54"/>
      <c r="AU21" s="54"/>
      <c r="AV21" s="54"/>
      <c r="AW21" s="54"/>
    </row>
    <row r="22" spans="2:49" s="3" customFormat="1" ht="15" customHeight="1">
      <c r="B22" s="165" t="s">
        <v>97</v>
      </c>
      <c r="C22" s="49">
        <f>VLOOKUP($B22,Unidades!$D$5:$N$23,6,FALSE())</f>
        <v>461.59</v>
      </c>
      <c r="D22" s="49">
        <f>VLOOKUP($B22,Unidades!$D$5:$N$23,7,FALSE())</f>
        <v>294.43</v>
      </c>
      <c r="E22" s="49">
        <f>VLOOKUP($B22,Unidades!$D$5:$N$23,8,FALSE())</f>
        <v>167.16</v>
      </c>
      <c r="F22" s="49">
        <f>VLOOKUP($B22,Unidades!$D$5:$N$23,9,FALSE())</f>
        <v>0</v>
      </c>
      <c r="G22" s="49">
        <f t="shared" si="0"/>
        <v>352.93599999999998</v>
      </c>
      <c r="H22" s="50">
        <f t="shared" si="1"/>
        <v>1.5</v>
      </c>
      <c r="I22" s="50">
        <f t="shared" si="2"/>
        <v>1.7999999999999998</v>
      </c>
      <c r="J22" s="50" t="str">
        <f>VLOOKUP($B22,Unidades!$D$5:$N$23,10,FALSE())</f>
        <v>NÃO</v>
      </c>
      <c r="K22" s="50" t="str">
        <f>VLOOKUP($B22,Unidades!$D$5:$N$23,11,FALSE())</f>
        <v>SIM</v>
      </c>
      <c r="L22" s="50">
        <f t="shared" si="3"/>
        <v>1.6500000000000001</v>
      </c>
      <c r="M22" s="50">
        <f t="shared" si="4"/>
        <v>5.65</v>
      </c>
      <c r="N22" s="50">
        <f t="shared" si="5"/>
        <v>34.15</v>
      </c>
      <c r="O22" s="51">
        <f t="shared" si="6"/>
        <v>1855.1101168999999</v>
      </c>
      <c r="P22" s="52"/>
      <c r="Q22" s="16" t="str">
        <f t="shared" si="7"/>
        <v>APS Candelária</v>
      </c>
      <c r="R22" s="18">
        <f t="shared" si="8"/>
        <v>73.303929000000011</v>
      </c>
      <c r="S22" s="18">
        <f t="shared" si="9"/>
        <v>87.964714799999996</v>
      </c>
      <c r="T22" s="18">
        <f t="shared" si="10"/>
        <v>80.634321900000018</v>
      </c>
      <c r="U22" s="18">
        <f t="shared" si="11"/>
        <v>462.33546590000003</v>
      </c>
      <c r="V22" s="18">
        <f>VLOOKUP(Q22,'Desl. Base PF'!$C$5:$S$23,13,FALSE())*($C$29+$D$29+$E$29*(VLOOKUP(Q22,'Desl. Base PF'!$C$5:$S$23,17,FALSE())/12))</f>
        <v>175.06410612777779</v>
      </c>
      <c r="W22" s="18">
        <f>VLOOKUP(Q22,'Desl. Base PF'!$C$5:$S$23,15,FALSE())*(2+(VLOOKUP(Q22,'Desl. Base PF'!$C$5:$S$23,17,FALSE())/12))</f>
        <v>145.20833333333334</v>
      </c>
      <c r="X22" s="18">
        <f>VLOOKUP(Q22,'Desl. Base PF'!$C$5:$Q$25,14,FALSE())</f>
        <v>0</v>
      </c>
      <c r="Y22" s="18">
        <f>VLOOKUP(Q22,'Desl. Base PF'!$C$5:$Q$25,13,FALSE())*'Desl. Base PF'!$E$28+'Desl. Base PF'!$E$29*N22/12</f>
        <v>202.34299999999999</v>
      </c>
      <c r="Z22" s="18">
        <f>(H22/$AC$5)*'Equipe Técnica'!$C$13</f>
        <v>355.54722334141678</v>
      </c>
      <c r="AA22" s="18">
        <f>(I22/$AC$5)*'Equipe Técnica'!$C$13</f>
        <v>426.65666800970013</v>
      </c>
      <c r="AB22" s="18">
        <f>(L22/$AC$5)*'Equipe Técnica'!$C$13</f>
        <v>391.10194567555851</v>
      </c>
      <c r="AC22" s="18">
        <f>(M22/$AC$5)*'Equipe Técnica'!$C$13</f>
        <v>1339.2278745860035</v>
      </c>
      <c r="AD22" s="18">
        <f t="shared" si="12"/>
        <v>758.92406147475003</v>
      </c>
      <c r="AE22" s="18">
        <f t="shared" si="13"/>
        <v>844.69429194303348</v>
      </c>
      <c r="AF22" s="18">
        <f t="shared" si="14"/>
        <v>801.80917670889187</v>
      </c>
      <c r="AG22" s="18">
        <f t="shared" si="15"/>
        <v>2131.6362496193369</v>
      </c>
      <c r="AI22" s="16" t="str">
        <f t="shared" si="16"/>
        <v>APS Candelária</v>
      </c>
      <c r="AJ22" s="53">
        <f>VLOOKUP(AI22,Unidades!D$5:H$23,5,)</f>
        <v>0.2707</v>
      </c>
      <c r="AK22" s="35">
        <f t="shared" si="17"/>
        <v>964.36480491596478</v>
      </c>
      <c r="AL22" s="35">
        <f t="shared" si="18"/>
        <v>1073.3530367720125</v>
      </c>
      <c r="AM22" s="35">
        <f t="shared" si="19"/>
        <v>1018.8589208439888</v>
      </c>
      <c r="AN22" s="35">
        <f t="shared" si="20"/>
        <v>2708.6701823912913</v>
      </c>
      <c r="AO22" s="35">
        <f t="shared" si="21"/>
        <v>1717.6814858465748</v>
      </c>
      <c r="AP22" s="35">
        <f t="shared" si="23"/>
        <v>5153.0444575397241</v>
      </c>
      <c r="AQ22" s="35">
        <f t="shared" si="22"/>
        <v>6870.7259433862992</v>
      </c>
      <c r="AR22" s="54"/>
      <c r="AS22" s="54"/>
      <c r="AT22" s="54"/>
      <c r="AU22" s="54"/>
      <c r="AV22" s="54"/>
      <c r="AW22" s="54"/>
    </row>
    <row r="23" spans="2:49" s="3" customFormat="1" ht="15" customHeight="1">
      <c r="B23" s="166" t="s">
        <v>98</v>
      </c>
      <c r="C23" s="49">
        <f>VLOOKUP($B23,Unidades!$D$5:$N$23,6,FALSE())</f>
        <v>2111.12</v>
      </c>
      <c r="D23" s="49">
        <f>VLOOKUP($B23,Unidades!$D$5:$N$23,7,FALSE())</f>
        <v>689.74</v>
      </c>
      <c r="E23" s="49">
        <f>VLOOKUP($B23,Unidades!$D$5:$N$23,8,FALSE())</f>
        <v>1262.17</v>
      </c>
      <c r="F23" s="49">
        <f>VLOOKUP($B23,Unidades!$D$5:$N$23,9,FALSE())</f>
        <v>159.21</v>
      </c>
      <c r="G23" s="49">
        <f t="shared" si="0"/>
        <v>1147.4204999999999</v>
      </c>
      <c r="H23" s="50">
        <f t="shared" si="1"/>
        <v>2</v>
      </c>
      <c r="I23" s="50">
        <f t="shared" si="2"/>
        <v>2.4</v>
      </c>
      <c r="J23" s="50" t="str">
        <f>VLOOKUP($B23,Unidades!$D$5:$N$23,10,FALSE())</f>
        <v>NÃO</v>
      </c>
      <c r="K23" s="50" t="str">
        <f>VLOOKUP($B23,Unidades!$D$5:$N$23,11,FALSE())</f>
        <v>SIM</v>
      </c>
      <c r="L23" s="50">
        <f t="shared" si="3"/>
        <v>2.2000000000000002</v>
      </c>
      <c r="M23" s="50">
        <f t="shared" si="4"/>
        <v>6.2</v>
      </c>
      <c r="N23" s="50">
        <f t="shared" si="5"/>
        <v>44.2</v>
      </c>
      <c r="O23" s="51">
        <f t="shared" si="6"/>
        <v>2364.3744412000001</v>
      </c>
      <c r="P23" s="52"/>
      <c r="Q23" s="16" t="str">
        <f t="shared" si="7"/>
        <v>APS Santa Cruz do Sul</v>
      </c>
      <c r="R23" s="18">
        <f t="shared" si="8"/>
        <v>97.738572000000005</v>
      </c>
      <c r="S23" s="18">
        <f t="shared" si="9"/>
        <v>117.28628639999999</v>
      </c>
      <c r="T23" s="18">
        <f t="shared" si="10"/>
        <v>107.51242920000001</v>
      </c>
      <c r="U23" s="18">
        <f t="shared" si="11"/>
        <v>507.34157319999997</v>
      </c>
      <c r="V23" s="18">
        <f>VLOOKUP(Q23,'Desl. Base PF'!$C$5:$S$23,13,FALSE())*($C$29+$D$29+$E$29*(VLOOKUP(Q23,'Desl. Base PF'!$C$5:$S$23,17,FALSE())/12))</f>
        <v>181.51610021111114</v>
      </c>
      <c r="W23" s="18">
        <f>VLOOKUP(Q23,'Desl. Base PF'!$C$5:$S$23,15,FALSE())*(2+(VLOOKUP(Q23,'Desl. Base PF'!$C$5:$S$23,17,FALSE())/12))</f>
        <v>145.20833333333334</v>
      </c>
      <c r="X23" s="18">
        <f>VLOOKUP(Q23,'Desl. Base PF'!$C$5:$Q$25,14,FALSE())</f>
        <v>9.0500000000000007</v>
      </c>
      <c r="Y23" s="18">
        <f>VLOOKUP(Q23,'Desl. Base PF'!$C$5:$Q$25,13,FALSE())*'Desl. Base PF'!$E$28+'Desl. Base PF'!$E$29*N23/12</f>
        <v>214.76750000000001</v>
      </c>
      <c r="Z23" s="18">
        <f>(H23/$AC$5)*'Equipe Técnica'!$C$13</f>
        <v>474.06296445522241</v>
      </c>
      <c r="AA23" s="18">
        <f>(I23/$AC$5)*'Equipe Técnica'!$C$13</f>
        <v>568.87555734626687</v>
      </c>
      <c r="AB23" s="18">
        <f>(L23/$AC$5)*'Equipe Técnica'!$C$13</f>
        <v>521.46926090074476</v>
      </c>
      <c r="AC23" s="18">
        <f>(M23/$AC$5)*'Equipe Técnica'!$C$13</f>
        <v>1469.5951898111898</v>
      </c>
      <c r="AD23" s="18">
        <f t="shared" si="12"/>
        <v>919.51223132539792</v>
      </c>
      <c r="AE23" s="18">
        <f t="shared" si="13"/>
        <v>1033.8725386164424</v>
      </c>
      <c r="AF23" s="18">
        <f t="shared" si="14"/>
        <v>976.69238497092033</v>
      </c>
      <c r="AG23" s="18">
        <f t="shared" si="15"/>
        <v>2324.6474578813654</v>
      </c>
      <c r="AI23" s="16" t="str">
        <f t="shared" si="16"/>
        <v>APS Santa Cruz do Sul</v>
      </c>
      <c r="AJ23" s="53">
        <f>VLOOKUP(AI23,Unidades!D$5:H$23,5,)</f>
        <v>0.2707</v>
      </c>
      <c r="AK23" s="35">
        <f t="shared" si="17"/>
        <v>1168.424192345183</v>
      </c>
      <c r="AL23" s="35">
        <f t="shared" si="18"/>
        <v>1313.7418348199133</v>
      </c>
      <c r="AM23" s="35">
        <f t="shared" si="19"/>
        <v>1241.0830135825483</v>
      </c>
      <c r="AN23" s="35">
        <f t="shared" si="20"/>
        <v>2953.929524729851</v>
      </c>
      <c r="AO23" s="35">
        <f t="shared" si="21"/>
        <v>2059.3460999430667</v>
      </c>
      <c r="AP23" s="35">
        <f t="shared" si="23"/>
        <v>6178.0382998292007</v>
      </c>
      <c r="AQ23" s="35">
        <f t="shared" si="22"/>
        <v>8237.384399772267</v>
      </c>
      <c r="AR23" s="54"/>
      <c r="AS23" s="54"/>
      <c r="AT23" s="54"/>
      <c r="AU23" s="54"/>
      <c r="AV23" s="54"/>
      <c r="AW23" s="54"/>
    </row>
    <row r="24" spans="2:49" s="3" customFormat="1" ht="15" customHeight="1">
      <c r="B24" s="166" t="s">
        <v>99</v>
      </c>
      <c r="C24" s="49">
        <f>VLOOKUP($B24,Unidades!$D$5:$N$23,6,FALSE())</f>
        <v>949.02</v>
      </c>
      <c r="D24" s="49">
        <f>VLOOKUP($B24,Unidades!$D$5:$N$23,7,FALSE())</f>
        <v>332.74</v>
      </c>
      <c r="E24" s="49">
        <f>VLOOKUP($B24,Unidades!$D$5:$N$23,8,FALSE())</f>
        <v>616.28</v>
      </c>
      <c r="F24" s="49">
        <f>VLOOKUP($B24,Unidades!$D$5:$N$23,9,FALSE())</f>
        <v>0</v>
      </c>
      <c r="G24" s="49">
        <f t="shared" si="0"/>
        <v>548.43799999999999</v>
      </c>
      <c r="H24" s="50">
        <f t="shared" si="1"/>
        <v>1.5</v>
      </c>
      <c r="I24" s="50">
        <f t="shared" si="2"/>
        <v>1.7999999999999998</v>
      </c>
      <c r="J24" s="50" t="str">
        <f>VLOOKUP($B24,Unidades!$D$5:$N$23,10,FALSE())</f>
        <v>NÃO</v>
      </c>
      <c r="K24" s="50" t="str">
        <f>VLOOKUP($B24,Unidades!$D$5:$N$23,11,FALSE())</f>
        <v>NÃO</v>
      </c>
      <c r="L24" s="50">
        <f t="shared" si="3"/>
        <v>1.6500000000000001</v>
      </c>
      <c r="M24" s="50">
        <f t="shared" si="4"/>
        <v>1.6500000000000001</v>
      </c>
      <c r="N24" s="50">
        <f t="shared" si="5"/>
        <v>30.15</v>
      </c>
      <c r="O24" s="51">
        <f t="shared" si="6"/>
        <v>1473.4089729</v>
      </c>
      <c r="P24" s="52"/>
      <c r="Q24" s="16" t="str">
        <f t="shared" si="7"/>
        <v>APS Sobradinho</v>
      </c>
      <c r="R24" s="18">
        <f t="shared" si="8"/>
        <v>73.303929000000011</v>
      </c>
      <c r="S24" s="18">
        <f t="shared" si="9"/>
        <v>87.964714799999996</v>
      </c>
      <c r="T24" s="18">
        <f t="shared" si="10"/>
        <v>80.634321900000018</v>
      </c>
      <c r="U24" s="18">
        <f t="shared" si="11"/>
        <v>80.634321900000018</v>
      </c>
      <c r="V24" s="18">
        <f>VLOOKUP(Q24,'Desl. Base PF'!$C$5:$S$23,13,FALSE())*($C$29+$D$29+$E$29*(VLOOKUP(Q24,'Desl. Base PF'!$C$5:$S$23,17,FALSE())/12))</f>
        <v>175.06410612777779</v>
      </c>
      <c r="W24" s="18">
        <f>VLOOKUP(Q24,'Desl. Base PF'!$C$5:$S$23,15,FALSE())*(2+(VLOOKUP(Q24,'Desl. Base PF'!$C$5:$S$23,17,FALSE())/12))</f>
        <v>145.20833333333334</v>
      </c>
      <c r="X24" s="18">
        <f>VLOOKUP(Q24,'Desl. Base PF'!$C$5:$Q$25,14,FALSE())</f>
        <v>0</v>
      </c>
      <c r="Y24" s="18">
        <f>VLOOKUP(Q24,'Desl. Base PF'!$C$5:$Q$25,13,FALSE())*'Desl. Base PF'!$E$28+'Desl. Base PF'!$E$29*N24/12</f>
        <v>200.083</v>
      </c>
      <c r="Z24" s="18">
        <f>(H24/$AC$5)*'Equipe Técnica'!$C$13</f>
        <v>355.54722334141678</v>
      </c>
      <c r="AA24" s="18">
        <f>(I24/$AC$5)*'Equipe Técnica'!$C$13</f>
        <v>426.65666800970013</v>
      </c>
      <c r="AB24" s="18">
        <f>(L24/$AC$5)*'Equipe Técnica'!$C$13</f>
        <v>391.10194567555851</v>
      </c>
      <c r="AC24" s="18">
        <f>(M24/$AC$5)*'Equipe Técnica'!$C$13</f>
        <v>391.10194567555851</v>
      </c>
      <c r="AD24" s="18">
        <f t="shared" si="12"/>
        <v>757.49669305369753</v>
      </c>
      <c r="AE24" s="18">
        <f t="shared" si="13"/>
        <v>843.26692352198097</v>
      </c>
      <c r="AF24" s="18">
        <f t="shared" si="14"/>
        <v>800.38180828783925</v>
      </c>
      <c r="AG24" s="18">
        <f t="shared" si="15"/>
        <v>800.38180828783925</v>
      </c>
      <c r="AI24" s="16" t="str">
        <f t="shared" si="16"/>
        <v>APS Sobradinho</v>
      </c>
      <c r="AJ24" s="53">
        <f>VLOOKUP(AI24,Unidades!D$5:H$23,5,)</f>
        <v>0.27779999999999999</v>
      </c>
      <c r="AK24" s="35">
        <f t="shared" si="17"/>
        <v>967.92927438401478</v>
      </c>
      <c r="AL24" s="35">
        <f t="shared" si="18"/>
        <v>1077.5264748763873</v>
      </c>
      <c r="AM24" s="35">
        <f t="shared" si="19"/>
        <v>1022.7278746302011</v>
      </c>
      <c r="AN24" s="35">
        <f t="shared" si="20"/>
        <v>1022.7278746302011</v>
      </c>
      <c r="AO24" s="35">
        <f t="shared" si="21"/>
        <v>1582.7867346670275</v>
      </c>
      <c r="AP24" s="35">
        <f t="shared" si="23"/>
        <v>4748.3602040010828</v>
      </c>
      <c r="AQ24" s="35">
        <f t="shared" si="22"/>
        <v>6331.1469386681101</v>
      </c>
      <c r="AR24" s="54"/>
      <c r="AS24" s="54"/>
      <c r="AT24" s="54"/>
      <c r="AU24" s="54"/>
      <c r="AV24" s="54"/>
      <c r="AW24" s="54"/>
    </row>
    <row r="25" spans="2:49" s="3" customFormat="1" ht="15" customHeight="1">
      <c r="B25" s="166" t="s">
        <v>100</v>
      </c>
      <c r="C25" s="49">
        <f>VLOOKUP($B25,Unidades!$D$5:$N$23,6,FALSE())</f>
        <v>950.51</v>
      </c>
      <c r="D25" s="49">
        <f>VLOOKUP($B25,Unidades!$D$5:$N$23,7,FALSE())</f>
        <v>387.48</v>
      </c>
      <c r="E25" s="49">
        <f>VLOOKUP($B25,Unidades!$D$5:$N$23,8,FALSE())</f>
        <v>524.38</v>
      </c>
      <c r="F25" s="49">
        <f>VLOOKUP($B25,Unidades!$D$5:$N$23,9,FALSE())</f>
        <v>38.65</v>
      </c>
      <c r="G25" s="49">
        <f t="shared" si="0"/>
        <v>574.87800000000004</v>
      </c>
      <c r="H25" s="50">
        <f t="shared" si="1"/>
        <v>1.5</v>
      </c>
      <c r="I25" s="50">
        <f t="shared" si="2"/>
        <v>1.7999999999999998</v>
      </c>
      <c r="J25" s="50" t="str">
        <f>VLOOKUP($B25,Unidades!$D$5:$N$23,10,FALSE())</f>
        <v>NÃO</v>
      </c>
      <c r="K25" s="50" t="str">
        <f>VLOOKUP($B25,Unidades!$D$5:$N$23,11,FALSE())</f>
        <v>SIM</v>
      </c>
      <c r="L25" s="50">
        <f t="shared" si="3"/>
        <v>1.6500000000000001</v>
      </c>
      <c r="M25" s="50">
        <f t="shared" si="4"/>
        <v>5.65</v>
      </c>
      <c r="N25" s="50">
        <f t="shared" si="5"/>
        <v>34.15</v>
      </c>
      <c r="O25" s="51">
        <f t="shared" si="6"/>
        <v>1855.1101168999999</v>
      </c>
      <c r="P25" s="52"/>
      <c r="Q25" s="16" t="str">
        <f t="shared" si="7"/>
        <v>APS Venâncio Aires</v>
      </c>
      <c r="R25" s="18">
        <f t="shared" si="8"/>
        <v>73.303929000000011</v>
      </c>
      <c r="S25" s="18">
        <f t="shared" si="9"/>
        <v>87.964714799999996</v>
      </c>
      <c r="T25" s="18">
        <f t="shared" si="10"/>
        <v>80.634321900000018</v>
      </c>
      <c r="U25" s="18">
        <f t="shared" si="11"/>
        <v>462.33546590000003</v>
      </c>
      <c r="V25" s="18">
        <f>VLOOKUP(Q25,'Desl. Base PF'!$C$5:$S$23,13,FALSE())*($C$29+$D$29+$E$29*(VLOOKUP(Q25,'Desl. Base PF'!$C$5:$S$23,17,FALSE())/12))</f>
        <v>181.51610021111114</v>
      </c>
      <c r="W25" s="18">
        <f>VLOOKUP(Q25,'Desl. Base PF'!$C$5:$S$23,15,FALSE())*(2+(VLOOKUP(Q25,'Desl. Base PF'!$C$5:$S$23,17,FALSE())/12))</f>
        <v>145.20833333333334</v>
      </c>
      <c r="X25" s="18">
        <f>VLOOKUP(Q25,'Desl. Base PF'!$C$5:$Q$25,14,FALSE())</f>
        <v>9.0500000000000007</v>
      </c>
      <c r="Y25" s="18">
        <f>VLOOKUP(Q25,'Desl. Base PF'!$C$5:$Q$25,13,FALSE())*'Desl. Base PF'!$E$28+'Desl. Base PF'!$E$29*N25/12</f>
        <v>209.08924999999999</v>
      </c>
      <c r="Z25" s="18">
        <f>(H25/$AC$5)*'Equipe Técnica'!$C$13</f>
        <v>355.54722334141678</v>
      </c>
      <c r="AA25" s="18">
        <f>(I25/$AC$5)*'Equipe Técnica'!$C$13</f>
        <v>426.65666800970013</v>
      </c>
      <c r="AB25" s="18">
        <f>(L25/$AC$5)*'Equipe Técnica'!$C$13</f>
        <v>391.10194567555851</v>
      </c>
      <c r="AC25" s="18">
        <f>(M25/$AC$5)*'Equipe Técnica'!$C$13</f>
        <v>1339.2278745860035</v>
      </c>
      <c r="AD25" s="18">
        <f t="shared" si="12"/>
        <v>772.9755840536975</v>
      </c>
      <c r="AE25" s="18">
        <f t="shared" si="13"/>
        <v>858.74581452198095</v>
      </c>
      <c r="AF25" s="18">
        <f t="shared" si="14"/>
        <v>815.86069928783922</v>
      </c>
      <c r="AG25" s="18">
        <f t="shared" si="15"/>
        <v>2145.6877721982842</v>
      </c>
      <c r="AI25" s="16" t="str">
        <f t="shared" si="16"/>
        <v>APS Venâncio Aires</v>
      </c>
      <c r="AJ25" s="53">
        <f>VLOOKUP(AI25,Unidades!D$5:H$23,5,)</f>
        <v>0.28489999999999999</v>
      </c>
      <c r="AK25" s="35">
        <f t="shared" si="17"/>
        <v>993.1963279505959</v>
      </c>
      <c r="AL25" s="35">
        <f t="shared" si="18"/>
        <v>1103.4024970792932</v>
      </c>
      <c r="AM25" s="35">
        <f t="shared" si="19"/>
        <v>1048.2994125149446</v>
      </c>
      <c r="AN25" s="35">
        <f t="shared" si="20"/>
        <v>2756.9942184975753</v>
      </c>
      <c r="AO25" s="35">
        <f t="shared" si="21"/>
        <v>1765.4632472709825</v>
      </c>
      <c r="AP25" s="35">
        <f t="shared" si="23"/>
        <v>5296.3897418129472</v>
      </c>
      <c r="AQ25" s="35">
        <f t="shared" si="22"/>
        <v>7061.85298908393</v>
      </c>
      <c r="AR25" s="54"/>
      <c r="AS25" s="54"/>
      <c r="AT25" s="54"/>
      <c r="AU25" s="54"/>
      <c r="AV25" s="54"/>
      <c r="AW25" s="54"/>
    </row>
    <row r="26" spans="2:49" s="41" customFormat="1" ht="19.5" customHeight="1">
      <c r="B26" s="59" t="s">
        <v>101</v>
      </c>
      <c r="C26" s="60">
        <f t="shared" ref="C26:I26" si="24">SUM(C7:C25)</f>
        <v>24888.929999999997</v>
      </c>
      <c r="D26" s="60">
        <f t="shared" si="24"/>
        <v>11948.669999999998</v>
      </c>
      <c r="E26" s="60">
        <f t="shared" si="24"/>
        <v>9176.5099999999984</v>
      </c>
      <c r="F26" s="60">
        <f t="shared" si="24"/>
        <v>3763.75</v>
      </c>
      <c r="G26" s="60">
        <f t="shared" si="24"/>
        <v>15536.8235</v>
      </c>
      <c r="H26" s="61">
        <f t="shared" si="24"/>
        <v>33</v>
      </c>
      <c r="I26" s="61">
        <f t="shared" si="24"/>
        <v>39.599999999999987</v>
      </c>
      <c r="J26" s="61">
        <f>COUNTIF(J7:J25,"SIM")</f>
        <v>3</v>
      </c>
      <c r="K26" s="61">
        <f>COUNTIF(K7:K25,"SIM")</f>
        <v>11</v>
      </c>
      <c r="L26" s="61">
        <f>SUM(L7:L25)</f>
        <v>42.29999999999999</v>
      </c>
      <c r="M26" s="61">
        <f>SUM(M7:M25)</f>
        <v>86.300000000000011</v>
      </c>
      <c r="N26" s="61">
        <f>SUM(N7:N25)</f>
        <v>725.29999999999984</v>
      </c>
      <c r="O26" s="62">
        <f>SUM(O7:O25)</f>
        <v>37752.093135800002</v>
      </c>
      <c r="P26" s="63"/>
      <c r="Q26" s="61" t="s">
        <v>101</v>
      </c>
      <c r="R26" s="64">
        <f t="shared" ref="R26:AG26" si="25">SUM(R7:R25)</f>
        <v>1612.686438</v>
      </c>
      <c r="S26" s="64">
        <f t="shared" si="25"/>
        <v>1935.2237255999999</v>
      </c>
      <c r="T26" s="64">
        <f t="shared" si="25"/>
        <v>2067.1707978000004</v>
      </c>
      <c r="U26" s="64">
        <f t="shared" si="25"/>
        <v>6524.6193818000002</v>
      </c>
      <c r="V26" s="64">
        <f t="shared" si="25"/>
        <v>2036.9175788555556</v>
      </c>
      <c r="W26" s="64">
        <f t="shared" si="25"/>
        <v>859.63333333333344</v>
      </c>
      <c r="X26" s="64">
        <f t="shared" si="25"/>
        <v>23</v>
      </c>
      <c r="Y26" s="64">
        <f t="shared" si="25"/>
        <v>2562.2979999999998</v>
      </c>
      <c r="Z26" s="64">
        <f t="shared" si="25"/>
        <v>7822.0389135111682</v>
      </c>
      <c r="AA26" s="64">
        <f t="shared" si="25"/>
        <v>9386.4466962134047</v>
      </c>
      <c r="AB26" s="64">
        <f t="shared" si="25"/>
        <v>10026.431698227956</v>
      </c>
      <c r="AC26" s="64">
        <f t="shared" si="25"/>
        <v>20455.816916242849</v>
      </c>
      <c r="AD26" s="64">
        <f t="shared" si="25"/>
        <v>12896.94571710415</v>
      </c>
      <c r="AE26" s="64">
        <f t="shared" si="25"/>
        <v>14783.890787406386</v>
      </c>
      <c r="AF26" s="64">
        <f t="shared" si="25"/>
        <v>15555.822861620936</v>
      </c>
      <c r="AG26" s="64">
        <f t="shared" si="25"/>
        <v>30442.656663635829</v>
      </c>
      <c r="AI26" s="204" t="s">
        <v>101</v>
      </c>
      <c r="AJ26" s="204"/>
      <c r="AK26" s="65">
        <f t="shared" ref="AK26:AQ26" si="26">SUM(AK7:AK25)</f>
        <v>16533.358452897366</v>
      </c>
      <c r="AL26" s="65">
        <f t="shared" si="26"/>
        <v>18952.822294100348</v>
      </c>
      <c r="AM26" s="65">
        <f t="shared" si="26"/>
        <v>19930.97459243748</v>
      </c>
      <c r="AN26" s="65">
        <f t="shared" si="26"/>
        <v>38992.479781888389</v>
      </c>
      <c r="AO26" s="65">
        <f t="shared" si="26"/>
        <v>29422.168298161097</v>
      </c>
      <c r="AP26" s="65">
        <f t="shared" si="26"/>
        <v>88266.504894483311</v>
      </c>
      <c r="AQ26" s="65">
        <f t="shared" si="26"/>
        <v>117688.67319264439</v>
      </c>
    </row>
    <row r="27" spans="2:49" ht="18" customHeight="1">
      <c r="H27" s="66"/>
      <c r="R27" s="67"/>
      <c r="S27" s="67"/>
      <c r="T27" s="67"/>
      <c r="U27" s="67"/>
      <c r="V27" s="67"/>
      <c r="W27" s="67"/>
      <c r="X27" s="67"/>
      <c r="Y27" s="67"/>
      <c r="Z27" s="67"/>
      <c r="AA27" s="67"/>
      <c r="AB27" s="67"/>
      <c r="AC27" s="67"/>
      <c r="AD27" s="42"/>
      <c r="AE27" s="42"/>
      <c r="AF27" s="42"/>
      <c r="AG27" s="42"/>
    </row>
    <row r="28" spans="2:49" ht="39.75" customHeight="1">
      <c r="B28" s="198" t="s">
        <v>27</v>
      </c>
      <c r="C28" s="68" t="s">
        <v>102</v>
      </c>
      <c r="D28" s="68" t="s">
        <v>103</v>
      </c>
      <c r="E28" s="68" t="s">
        <v>104</v>
      </c>
      <c r="R28" s="22"/>
      <c r="Z28" s="22"/>
      <c r="AA28" s="22"/>
      <c r="AB28" s="22"/>
      <c r="AC28" s="22"/>
    </row>
    <row r="29" spans="2:49" ht="18" customHeight="1">
      <c r="B29" s="198"/>
      <c r="C29" s="18">
        <f>'Comp. Oficial de Manutenção'!D11</f>
        <v>26.429286000000001</v>
      </c>
      <c r="D29" s="18">
        <v>22.44</v>
      </c>
      <c r="E29" s="18">
        <v>32.96</v>
      </c>
    </row>
    <row r="30" spans="2:49" ht="28.5" customHeight="1">
      <c r="B30" s="38" t="str">
        <f>'Equipe Técnica'!B9</f>
        <v>* SINAPI Maio/2025 (Desonerado)</v>
      </c>
    </row>
    <row r="31" spans="2:49" ht="23.25" customHeight="1"/>
  </sheetData>
  <mergeCells count="44">
    <mergeCell ref="AI26:AJ26"/>
    <mergeCell ref="B28:B29"/>
    <mergeCell ref="AT11:AU11"/>
    <mergeCell ref="AT12:AU12"/>
    <mergeCell ref="AT13:AU13"/>
    <mergeCell ref="AT14:AU14"/>
    <mergeCell ref="AT15:AU15"/>
    <mergeCell ref="AN5:AN6"/>
    <mergeCell ref="AO5:AO6"/>
    <mergeCell ref="AQ5:AQ6"/>
    <mergeCell ref="AS5:AS6"/>
    <mergeCell ref="AT10:AU10"/>
    <mergeCell ref="AP5:AP6"/>
    <mergeCell ref="AG5:AG6"/>
    <mergeCell ref="AJ5:AJ6"/>
    <mergeCell ref="AK5:AK6"/>
    <mergeCell ref="AL5:AL6"/>
    <mergeCell ref="AM5:AM6"/>
    <mergeCell ref="Y5:Y6"/>
    <mergeCell ref="Z5:AB5"/>
    <mergeCell ref="AD5:AD6"/>
    <mergeCell ref="AE5:AE6"/>
    <mergeCell ref="AF5:AF6"/>
    <mergeCell ref="G5:G6"/>
    <mergeCell ref="N5:N6"/>
    <mergeCell ref="V5:V6"/>
    <mergeCell ref="W5:W6"/>
    <mergeCell ref="X5:X6"/>
    <mergeCell ref="B2:O2"/>
    <mergeCell ref="Q2:AG2"/>
    <mergeCell ref="AI2:AW2"/>
    <mergeCell ref="B4:B6"/>
    <mergeCell ref="C4:G4"/>
    <mergeCell ref="H4:N4"/>
    <mergeCell ref="O4:O6"/>
    <mergeCell ref="Q4:Q6"/>
    <mergeCell ref="R4:U4"/>
    <mergeCell ref="V4:Y4"/>
    <mergeCell ref="Z4:AC4"/>
    <mergeCell ref="AD4:AG4"/>
    <mergeCell ref="AI4:AI6"/>
    <mergeCell ref="AJ4:AN4"/>
    <mergeCell ref="AO4:AQ4"/>
    <mergeCell ref="AS4:AW4"/>
  </mergeCells>
  <printOptions horizontalCentered="1" verticalCentered="1"/>
  <pageMargins left="7.8472222222222193E-2" right="3.8194444444444503E-2" top="0.196527777777778" bottom="0.196527777777778" header="0.511811023622047" footer="0.511811023622047"/>
  <pageSetup paperSize="9" pageOrder="overThenDown" orientation="portrait" useFirstPageNumber="1"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B1:IZ43"/>
  <sheetViews>
    <sheetView showGridLines="0" zoomScaleNormal="100" workbookViewId="0">
      <selection activeCell="G26" sqref="G26"/>
    </sheetView>
  </sheetViews>
  <sheetFormatPr defaultColWidth="8.625" defaultRowHeight="14.25"/>
  <cols>
    <col min="1" max="1" width="5.625" customWidth="1"/>
    <col min="2" max="2" width="12.625" style="69" customWidth="1"/>
    <col min="3" max="3" width="32.625" style="69" customWidth="1"/>
    <col min="4" max="13" width="9.625" style="69" customWidth="1"/>
    <col min="14" max="15" width="9.625" style="70" customWidth="1"/>
    <col min="16" max="17" width="9.625" style="69" customWidth="1"/>
    <col min="18" max="18" width="11.75" style="69" customWidth="1"/>
    <col min="19" max="19" width="14.25" style="69" customWidth="1"/>
    <col min="20" max="260" width="8.625" style="69"/>
  </cols>
  <sheetData>
    <row r="1" spans="2:19" ht="15" customHeight="1"/>
    <row r="2" spans="2:19" ht="24.75" customHeight="1">
      <c r="B2" s="216" t="str">
        <f>"DESLOCAMENTO BASE "&amp;Resumo!B5</f>
        <v>DESLOCAMENTO BASE PASSO FUNDO</v>
      </c>
      <c r="C2" s="216"/>
      <c r="D2" s="216"/>
      <c r="E2" s="216"/>
      <c r="F2" s="216"/>
      <c r="G2" s="216"/>
      <c r="H2" s="216"/>
      <c r="I2" s="216"/>
      <c r="J2" s="216"/>
      <c r="K2" s="216"/>
      <c r="L2" s="216"/>
      <c r="M2" s="216"/>
      <c r="N2" s="216"/>
      <c r="O2" s="216"/>
      <c r="P2" s="216"/>
      <c r="Q2" s="216"/>
      <c r="R2" s="216"/>
      <c r="S2" s="191"/>
    </row>
    <row r="3" spans="2:19" ht="15" customHeight="1">
      <c r="B3" s="71"/>
      <c r="C3" s="71"/>
      <c r="D3" s="71"/>
      <c r="E3" s="71"/>
      <c r="F3" s="71"/>
      <c r="G3" s="71"/>
      <c r="H3" s="71"/>
      <c r="I3" s="71"/>
      <c r="J3" s="71"/>
      <c r="K3" s="71"/>
      <c r="L3" s="71"/>
      <c r="M3" s="71"/>
      <c r="N3" s="71"/>
      <c r="O3" s="71"/>
    </row>
    <row r="4" spans="2:19" ht="37.5" customHeight="1">
      <c r="B4" s="15" t="s">
        <v>105</v>
      </c>
      <c r="C4" s="15" t="str">
        <f>"Rota (saída e retorno "&amp;Resumo!B5&amp;")"</f>
        <v>Rota (saída e retorno PASSO FUNDO)</v>
      </c>
      <c r="D4" s="15" t="s">
        <v>106</v>
      </c>
      <c r="E4" s="15" t="s">
        <v>107</v>
      </c>
      <c r="F4" s="15" t="s">
        <v>108</v>
      </c>
      <c r="G4" s="15" t="s">
        <v>109</v>
      </c>
      <c r="H4" s="15" t="s">
        <v>110</v>
      </c>
      <c r="I4" s="15" t="s">
        <v>111</v>
      </c>
      <c r="J4" s="15" t="s">
        <v>112</v>
      </c>
      <c r="K4" s="15" t="s">
        <v>113</v>
      </c>
      <c r="L4" s="15" t="s">
        <v>114</v>
      </c>
      <c r="M4" s="72" t="s">
        <v>115</v>
      </c>
      <c r="N4" s="15" t="s">
        <v>116</v>
      </c>
      <c r="O4" s="15" t="s">
        <v>117</v>
      </c>
      <c r="P4" s="15" t="s">
        <v>118</v>
      </c>
      <c r="Q4" s="15" t="s">
        <v>63</v>
      </c>
      <c r="R4" s="15" t="s">
        <v>119</v>
      </c>
      <c r="S4" s="15" t="s">
        <v>120</v>
      </c>
    </row>
    <row r="5" spans="2:19" ht="15.75" customHeight="1">
      <c r="B5" s="209">
        <v>1</v>
      </c>
      <c r="C5" s="58" t="s">
        <v>96</v>
      </c>
      <c r="D5" s="211">
        <v>46.1</v>
      </c>
      <c r="E5" s="211">
        <v>47.1</v>
      </c>
      <c r="F5" s="211">
        <v>0</v>
      </c>
      <c r="G5" s="212">
        <f>SUM(D5:F6)</f>
        <v>93.2</v>
      </c>
      <c r="H5" s="213">
        <v>49</v>
      </c>
      <c r="I5" s="213">
        <v>53</v>
      </c>
      <c r="J5" s="213">
        <v>0</v>
      </c>
      <c r="K5" s="214">
        <f>SUM(H5:J6)</f>
        <v>102</v>
      </c>
      <c r="L5" s="205">
        <f>K5/60</f>
        <v>1.7</v>
      </c>
      <c r="M5" s="207">
        <v>0</v>
      </c>
      <c r="N5" s="208">
        <v>2</v>
      </c>
      <c r="O5" s="76">
        <f>L5/N5</f>
        <v>0.85</v>
      </c>
      <c r="P5" s="177">
        <v>0</v>
      </c>
      <c r="Q5" s="177">
        <v>0</v>
      </c>
      <c r="R5" s="168" t="str">
        <f>INDEX('Base PF'!K$7:K$25,MATCH('Desl. Base PF'!C5,'Base PF'!B$7:B$25,0))</f>
        <v>SIM</v>
      </c>
      <c r="S5" s="168">
        <v>1</v>
      </c>
    </row>
    <row r="6" spans="2:19" ht="15.75" customHeight="1">
      <c r="B6" s="210"/>
      <c r="C6" s="58" t="s">
        <v>82</v>
      </c>
      <c r="D6" s="211"/>
      <c r="E6" s="211"/>
      <c r="F6" s="211"/>
      <c r="G6" s="212"/>
      <c r="H6" s="213"/>
      <c r="I6" s="213"/>
      <c r="J6" s="213"/>
      <c r="K6" s="214"/>
      <c r="L6" s="206"/>
      <c r="M6" s="207"/>
      <c r="N6" s="208"/>
      <c r="O6" s="76">
        <f>O5</f>
        <v>0.85</v>
      </c>
      <c r="P6" s="177">
        <v>0</v>
      </c>
      <c r="Q6" s="177">
        <v>0</v>
      </c>
      <c r="R6" s="168" t="str">
        <f>INDEX('Base PF'!K$7:K$25,MATCH('Desl. Base PF'!C6,'Base PF'!B$7:B$25,0))</f>
        <v>SIM</v>
      </c>
      <c r="S6" s="168">
        <v>1</v>
      </c>
    </row>
    <row r="7" spans="2:19" ht="15.75" customHeight="1">
      <c r="B7" s="215">
        <v>2</v>
      </c>
      <c r="C7" s="58" t="s">
        <v>83</v>
      </c>
      <c r="D7" s="211">
        <v>66</v>
      </c>
      <c r="E7" s="211">
        <f>98.1-D7</f>
        <v>32.099999999999994</v>
      </c>
      <c r="F7" s="211">
        <v>33.700000000000003</v>
      </c>
      <c r="G7" s="212">
        <f>SUM(D7:F8)</f>
        <v>131.80000000000001</v>
      </c>
      <c r="H7" s="213">
        <f>60+6</f>
        <v>66</v>
      </c>
      <c r="I7" s="213">
        <v>33</v>
      </c>
      <c r="J7" s="213">
        <v>40</v>
      </c>
      <c r="K7" s="214">
        <f>SUM(H7:J8)</f>
        <v>139</v>
      </c>
      <c r="L7" s="205">
        <f>K7/60</f>
        <v>2.3166666666666669</v>
      </c>
      <c r="M7" s="207">
        <v>0</v>
      </c>
      <c r="N7" s="208">
        <v>2</v>
      </c>
      <c r="O7" s="76">
        <f>L7/N7</f>
        <v>1.1583333333333334</v>
      </c>
      <c r="P7" s="177">
        <v>0</v>
      </c>
      <c r="Q7" s="177">
        <v>0</v>
      </c>
      <c r="R7" s="168" t="str">
        <f>INDEX('Base PF'!K$7:K$25,MATCH('Desl. Base PF'!C7,'Base PF'!B$7:B$25,0))</f>
        <v>SIM</v>
      </c>
      <c r="S7" s="168">
        <v>1</v>
      </c>
    </row>
    <row r="8" spans="2:19" ht="15.75" customHeight="1">
      <c r="B8" s="215"/>
      <c r="C8" s="58" t="s">
        <v>92</v>
      </c>
      <c r="D8" s="211"/>
      <c r="E8" s="211"/>
      <c r="F8" s="211"/>
      <c r="G8" s="212"/>
      <c r="H8" s="213"/>
      <c r="I8" s="213"/>
      <c r="J8" s="213"/>
      <c r="K8" s="214"/>
      <c r="L8" s="206"/>
      <c r="M8" s="207"/>
      <c r="N8" s="208"/>
      <c r="O8" s="76">
        <f>O7</f>
        <v>1.1583333333333334</v>
      </c>
      <c r="P8" s="177">
        <v>0</v>
      </c>
      <c r="Q8" s="177">
        <v>0</v>
      </c>
      <c r="R8" s="168" t="str">
        <f>INDEX('Base PF'!K$7:K$25,MATCH('Desl. Base PF'!C8,'Base PF'!B$7:B$25,0))</f>
        <v>SIM</v>
      </c>
      <c r="S8" s="168">
        <v>1</v>
      </c>
    </row>
    <row r="9" spans="2:19" ht="15.75" customHeight="1">
      <c r="B9" s="209">
        <v>3</v>
      </c>
      <c r="C9" s="58" t="s">
        <v>89</v>
      </c>
      <c r="D9" s="211">
        <v>104</v>
      </c>
      <c r="E9" s="211">
        <v>21.1</v>
      </c>
      <c r="F9" s="211">
        <v>84.9</v>
      </c>
      <c r="G9" s="212">
        <f t="shared" ref="G9" si="0">SUM(D9:F10)</f>
        <v>210</v>
      </c>
      <c r="H9" s="213">
        <f>60+48</f>
        <v>108</v>
      </c>
      <c r="I9" s="213">
        <v>23</v>
      </c>
      <c r="J9" s="213">
        <f>60+25</f>
        <v>85</v>
      </c>
      <c r="K9" s="214">
        <f t="shared" ref="K9" si="1">SUM(H9:J10)</f>
        <v>216</v>
      </c>
      <c r="L9" s="205">
        <f t="shared" ref="L9" si="2">K9/60</f>
        <v>3.6</v>
      </c>
      <c r="M9" s="207">
        <v>0</v>
      </c>
      <c r="N9" s="208">
        <v>2</v>
      </c>
      <c r="O9" s="76">
        <f t="shared" ref="O9" si="3">L9/N9</f>
        <v>1.8</v>
      </c>
      <c r="P9" s="177">
        <v>0</v>
      </c>
      <c r="Q9" s="177">
        <v>0</v>
      </c>
      <c r="R9" s="168" t="str">
        <f>INDEX('Base PF'!K$7:K$25,MATCH('Desl. Base PF'!C9,'Base PF'!B$7:B$25,0))</f>
        <v>NÃO</v>
      </c>
      <c r="S9" s="168">
        <v>1</v>
      </c>
    </row>
    <row r="10" spans="2:19" ht="15.75" customHeight="1">
      <c r="B10" s="210"/>
      <c r="C10" s="58" t="s">
        <v>94</v>
      </c>
      <c r="D10" s="211"/>
      <c r="E10" s="211"/>
      <c r="F10" s="211"/>
      <c r="G10" s="212"/>
      <c r="H10" s="213"/>
      <c r="I10" s="213"/>
      <c r="J10" s="213"/>
      <c r="K10" s="214"/>
      <c r="L10" s="206"/>
      <c r="M10" s="207">
        <v>0</v>
      </c>
      <c r="N10" s="208"/>
      <c r="O10" s="76">
        <f>O9</f>
        <v>1.8</v>
      </c>
      <c r="P10" s="177">
        <v>0</v>
      </c>
      <c r="Q10" s="177">
        <v>0</v>
      </c>
      <c r="R10" s="168" t="str">
        <f>INDEX('Base PF'!K$7:K$25,MATCH('Desl. Base PF'!C10,'Base PF'!B$7:B$25,0))</f>
        <v>SIM</v>
      </c>
      <c r="S10" s="168">
        <v>1</v>
      </c>
    </row>
    <row r="11" spans="2:19" ht="15.75" customHeight="1">
      <c r="B11" s="215">
        <v>4</v>
      </c>
      <c r="C11" s="58" t="s">
        <v>85</v>
      </c>
      <c r="D11" s="211">
        <v>81.8</v>
      </c>
      <c r="E11" s="211">
        <v>33</v>
      </c>
      <c r="F11" s="211">
        <v>49.6</v>
      </c>
      <c r="G11" s="212">
        <f t="shared" ref="G11" si="4">SUM(D11:F12)</f>
        <v>164.4</v>
      </c>
      <c r="H11" s="213">
        <f>60+28</f>
        <v>88</v>
      </c>
      <c r="I11" s="213">
        <v>39</v>
      </c>
      <c r="J11" s="213">
        <v>53</v>
      </c>
      <c r="K11" s="214">
        <f t="shared" ref="K11" si="5">SUM(H11:J12)</f>
        <v>180</v>
      </c>
      <c r="L11" s="205">
        <f t="shared" ref="L11" si="6">K11/60</f>
        <v>3</v>
      </c>
      <c r="M11" s="207">
        <v>4.9000000000000004</v>
      </c>
      <c r="N11" s="208">
        <v>2</v>
      </c>
      <c r="O11" s="76">
        <f t="shared" ref="O11" si="7">L11/N11</f>
        <v>1.5</v>
      </c>
      <c r="P11" s="177">
        <f>M11/N11</f>
        <v>2.4500000000000002</v>
      </c>
      <c r="Q11" s="177">
        <v>0</v>
      </c>
      <c r="R11" s="168" t="str">
        <f>INDEX('Base PF'!K$7:K$25,MATCH('Desl. Base PF'!C11,'Base PF'!B$7:B$25,0))</f>
        <v>SIM</v>
      </c>
      <c r="S11" s="168">
        <v>1</v>
      </c>
    </row>
    <row r="12" spans="2:19" ht="15.75" customHeight="1">
      <c r="B12" s="215"/>
      <c r="C12" s="58" t="s">
        <v>88</v>
      </c>
      <c r="D12" s="211"/>
      <c r="E12" s="211"/>
      <c r="F12" s="211"/>
      <c r="G12" s="212"/>
      <c r="H12" s="213"/>
      <c r="I12" s="213"/>
      <c r="J12" s="213"/>
      <c r="K12" s="214"/>
      <c r="L12" s="206"/>
      <c r="M12" s="207"/>
      <c r="N12" s="208"/>
      <c r="O12" s="76">
        <f>O11</f>
        <v>1.5</v>
      </c>
      <c r="P12" s="177">
        <f>P11</f>
        <v>2.4500000000000002</v>
      </c>
      <c r="Q12" s="177">
        <v>0</v>
      </c>
      <c r="R12" s="168" t="str">
        <f>INDEX('Base PF'!K$7:K$25,MATCH('Desl. Base PF'!C12,'Base PF'!B$7:B$25,0))</f>
        <v>NÃO</v>
      </c>
      <c r="S12" s="168">
        <v>1</v>
      </c>
    </row>
    <row r="13" spans="2:19" ht="15.75" customHeight="1">
      <c r="B13" s="209">
        <v>5</v>
      </c>
      <c r="C13" s="178" t="s">
        <v>91</v>
      </c>
      <c r="D13" s="211">
        <v>98.6</v>
      </c>
      <c r="E13" s="211">
        <v>77.2</v>
      </c>
      <c r="F13" s="211">
        <v>176</v>
      </c>
      <c r="G13" s="212">
        <f t="shared" ref="G13" si="8">SUM(D13:F14)</f>
        <v>351.8</v>
      </c>
      <c r="H13" s="213">
        <f>60+27</f>
        <v>87</v>
      </c>
      <c r="I13" s="213">
        <f>60+13</f>
        <v>73</v>
      </c>
      <c r="J13" s="213">
        <f>2*60+41</f>
        <v>161</v>
      </c>
      <c r="K13" s="214">
        <f t="shared" ref="K13" si="9">SUM(H13:J14)</f>
        <v>321</v>
      </c>
      <c r="L13" s="205">
        <f t="shared" ref="L13" si="10">K13/60</f>
        <v>5.35</v>
      </c>
      <c r="M13" s="207">
        <v>0</v>
      </c>
      <c r="N13" s="208">
        <v>2</v>
      </c>
      <c r="O13" s="76">
        <f t="shared" ref="O13" si="11">L13/N13</f>
        <v>2.6749999999999998</v>
      </c>
      <c r="P13" s="177">
        <v>0</v>
      </c>
      <c r="Q13" s="177">
        <f>E$42/N13</f>
        <v>69.7</v>
      </c>
      <c r="R13" s="168" t="str">
        <f>INDEX('Base PF'!K$7:K$25,MATCH('Desl. Base PF'!C13,'Base PF'!B$7:B$25,0))</f>
        <v>NÃO</v>
      </c>
      <c r="S13" s="168">
        <v>0</v>
      </c>
    </row>
    <row r="14" spans="2:19" ht="15.75" customHeight="1">
      <c r="B14" s="210"/>
      <c r="C14" s="178" t="s">
        <v>79</v>
      </c>
      <c r="D14" s="211"/>
      <c r="E14" s="211"/>
      <c r="F14" s="211"/>
      <c r="G14" s="212"/>
      <c r="H14" s="213"/>
      <c r="I14" s="213"/>
      <c r="J14" s="213"/>
      <c r="K14" s="214"/>
      <c r="L14" s="206"/>
      <c r="M14" s="207"/>
      <c r="N14" s="208"/>
      <c r="O14" s="76">
        <f>O13</f>
        <v>2.6749999999999998</v>
      </c>
      <c r="P14" s="177">
        <v>0</v>
      </c>
      <c r="Q14" s="177">
        <f>Q13</f>
        <v>69.7</v>
      </c>
      <c r="R14" s="168" t="str">
        <f>INDEX('Base PF'!K$7:K$25,MATCH('Desl. Base PF'!C14,'Base PF'!B$7:B$25,0))</f>
        <v>NÃO</v>
      </c>
      <c r="S14" s="168">
        <v>0</v>
      </c>
    </row>
    <row r="15" spans="2:19" ht="15.75" customHeight="1">
      <c r="B15" s="209">
        <v>6</v>
      </c>
      <c r="C15" s="58" t="s">
        <v>86</v>
      </c>
      <c r="D15" s="211">
        <v>83.4</v>
      </c>
      <c r="E15" s="211">
        <v>41.1</v>
      </c>
      <c r="F15" s="211">
        <v>76.099999999999994</v>
      </c>
      <c r="G15" s="212">
        <f t="shared" ref="G15" si="12">SUM(D15:F16)</f>
        <v>200.6</v>
      </c>
      <c r="H15" s="213">
        <f>60+10</f>
        <v>70</v>
      </c>
      <c r="I15" s="213">
        <v>37</v>
      </c>
      <c r="J15" s="213">
        <f>60+15</f>
        <v>75</v>
      </c>
      <c r="K15" s="214">
        <f t="shared" ref="K15" si="13">SUM(H15:J16)</f>
        <v>182</v>
      </c>
      <c r="L15" s="205">
        <f t="shared" ref="L15" si="14">K15/60</f>
        <v>3.0333333333333332</v>
      </c>
      <c r="M15" s="207">
        <v>0</v>
      </c>
      <c r="N15" s="208">
        <v>2</v>
      </c>
      <c r="O15" s="76">
        <f t="shared" ref="O15" si="15">L15/N15</f>
        <v>1.5166666666666666</v>
      </c>
      <c r="P15" s="177">
        <v>0</v>
      </c>
      <c r="Q15" s="177">
        <v>0</v>
      </c>
      <c r="R15" s="168" t="str">
        <f>INDEX('Base PF'!K$7:K$25,MATCH('Desl. Base PF'!C15,'Base PF'!B$7:B$25,0))</f>
        <v>NÃO</v>
      </c>
      <c r="S15" s="168">
        <v>1</v>
      </c>
    </row>
    <row r="16" spans="2:19" ht="15.75" customHeight="1">
      <c r="B16" s="210"/>
      <c r="C16" s="58" t="s">
        <v>95</v>
      </c>
      <c r="D16" s="211"/>
      <c r="E16" s="211"/>
      <c r="F16" s="211"/>
      <c r="G16" s="212"/>
      <c r="H16" s="213"/>
      <c r="I16" s="213"/>
      <c r="J16" s="213"/>
      <c r="K16" s="214"/>
      <c r="L16" s="206"/>
      <c r="M16" s="207"/>
      <c r="N16" s="208"/>
      <c r="O16" s="76">
        <f>O15</f>
        <v>1.5166666666666666</v>
      </c>
      <c r="P16" s="177">
        <v>0</v>
      </c>
      <c r="Q16" s="177">
        <v>0</v>
      </c>
      <c r="R16" s="168" t="str">
        <f>INDEX('Base PF'!K$7:K$25,MATCH('Desl. Base PF'!C16,'Base PF'!B$7:B$25,0))</f>
        <v>SIM</v>
      </c>
      <c r="S16" s="168">
        <v>1</v>
      </c>
    </row>
    <row r="17" spans="2:19" ht="15.75" customHeight="1">
      <c r="B17" s="73">
        <v>7</v>
      </c>
      <c r="C17" s="178" t="s">
        <v>93</v>
      </c>
      <c r="D17" s="183">
        <v>79.3</v>
      </c>
      <c r="E17" s="183">
        <v>77.8</v>
      </c>
      <c r="F17" s="183">
        <v>0</v>
      </c>
      <c r="G17" s="74">
        <f>SUM(D17:F17)</f>
        <v>157.1</v>
      </c>
      <c r="H17" s="184">
        <f>60+16</f>
        <v>76</v>
      </c>
      <c r="I17" s="184">
        <f>60+17</f>
        <v>77</v>
      </c>
      <c r="J17" s="184">
        <v>0</v>
      </c>
      <c r="K17" s="75">
        <f>SUM(H17:J17)</f>
        <v>153</v>
      </c>
      <c r="L17" s="76">
        <f t="shared" ref="L17:L18" si="16">K17/60</f>
        <v>2.5499999999999998</v>
      </c>
      <c r="M17" s="77">
        <v>0</v>
      </c>
      <c r="N17" s="167">
        <v>1</v>
      </c>
      <c r="O17" s="76">
        <f t="shared" ref="O17:O18" si="17">L17/N17</f>
        <v>2.5499999999999998</v>
      </c>
      <c r="P17" s="77">
        <v>0</v>
      </c>
      <c r="Q17" s="177">
        <v>0</v>
      </c>
      <c r="R17" s="168" t="str">
        <f>INDEX('Base PF'!K$7:K$25,MATCH('Desl. Base PF'!C17,'Base PF'!B$7:B$25,0))</f>
        <v>NÃO</v>
      </c>
      <c r="S17" s="168">
        <v>0</v>
      </c>
    </row>
    <row r="18" spans="2:19" ht="15.75" customHeight="1">
      <c r="B18" s="209">
        <v>8</v>
      </c>
      <c r="C18" s="58" t="s">
        <v>77</v>
      </c>
      <c r="D18" s="211">
        <v>115</v>
      </c>
      <c r="E18" s="211">
        <v>20.5</v>
      </c>
      <c r="F18" s="211">
        <v>136</v>
      </c>
      <c r="G18" s="212">
        <f t="shared" ref="G18" si="18">SUM(D18:F19)</f>
        <v>271.5</v>
      </c>
      <c r="H18" s="213">
        <f>60+56</f>
        <v>116</v>
      </c>
      <c r="I18" s="213">
        <v>22</v>
      </c>
      <c r="J18" s="213">
        <f>2*60+13</f>
        <v>133</v>
      </c>
      <c r="K18" s="214">
        <f t="shared" ref="K18" si="19">SUM(H18:J19)</f>
        <v>271</v>
      </c>
      <c r="L18" s="205">
        <f t="shared" si="16"/>
        <v>4.5166666666666666</v>
      </c>
      <c r="M18" s="207">
        <v>0</v>
      </c>
      <c r="N18" s="208">
        <v>2</v>
      </c>
      <c r="O18" s="76">
        <f t="shared" si="17"/>
        <v>2.2583333333333333</v>
      </c>
      <c r="P18" s="177">
        <v>0</v>
      </c>
      <c r="Q18" s="177">
        <v>0</v>
      </c>
      <c r="R18" s="168" t="str">
        <f>INDEX('Base PF'!K$7:K$25,MATCH('Desl. Base PF'!C18,'Base PF'!B$7:B$25,0))</f>
        <v>NÃO</v>
      </c>
      <c r="S18" s="168">
        <v>1</v>
      </c>
    </row>
    <row r="19" spans="2:19" ht="15.75" customHeight="1">
      <c r="B19" s="210"/>
      <c r="C19" s="58" t="s">
        <v>81</v>
      </c>
      <c r="D19" s="211"/>
      <c r="E19" s="211"/>
      <c r="F19" s="211"/>
      <c r="G19" s="212"/>
      <c r="H19" s="213"/>
      <c r="I19" s="213"/>
      <c r="J19" s="213"/>
      <c r="K19" s="214"/>
      <c r="L19" s="206"/>
      <c r="M19" s="207"/>
      <c r="N19" s="208"/>
      <c r="O19" s="76">
        <f>O18</f>
        <v>2.2583333333333333</v>
      </c>
      <c r="P19" s="177">
        <v>0</v>
      </c>
      <c r="Q19" s="177">
        <v>0</v>
      </c>
      <c r="R19" s="168" t="str">
        <f>INDEX('Base PF'!K$7:K$25,MATCH('Desl. Base PF'!C19,'Base PF'!B$7:B$25,0))</f>
        <v>SIM</v>
      </c>
      <c r="S19" s="168">
        <v>1</v>
      </c>
    </row>
    <row r="20" spans="2:19" ht="15.75" customHeight="1">
      <c r="B20" s="209">
        <v>9</v>
      </c>
      <c r="C20" s="58" t="s">
        <v>99</v>
      </c>
      <c r="D20" s="211">
        <v>192</v>
      </c>
      <c r="E20" s="211">
        <v>45.7</v>
      </c>
      <c r="F20" s="211">
        <v>217</v>
      </c>
      <c r="G20" s="212">
        <f t="shared" ref="G20" si="20">SUM(D20:F21)</f>
        <v>454.7</v>
      </c>
      <c r="H20" s="213">
        <f>2*60+47</f>
        <v>167</v>
      </c>
      <c r="I20" s="213">
        <v>43</v>
      </c>
      <c r="J20" s="213">
        <f>3*60+17</f>
        <v>197</v>
      </c>
      <c r="K20" s="214">
        <f t="shared" ref="K20" si="21">SUM(H20:J21)</f>
        <v>407</v>
      </c>
      <c r="L20" s="205">
        <f t="shared" ref="L20" si="22">K20/60</f>
        <v>6.7833333333333332</v>
      </c>
      <c r="M20" s="207">
        <v>0</v>
      </c>
      <c r="N20" s="208">
        <v>2</v>
      </c>
      <c r="O20" s="76">
        <f t="shared" ref="O20" si="23">L20/N20</f>
        <v>3.3916666666666666</v>
      </c>
      <c r="P20" s="177">
        <v>0</v>
      </c>
      <c r="Q20" s="177">
        <f>E$42/N20</f>
        <v>69.7</v>
      </c>
      <c r="R20" s="168" t="str">
        <f>INDEX('Base PF'!K$7:K$25,MATCH('Desl. Base PF'!C20,'Base PF'!B$7:B$25,0))</f>
        <v>NÃO</v>
      </c>
      <c r="S20" s="168">
        <v>1</v>
      </c>
    </row>
    <row r="21" spans="2:19" ht="15.75" customHeight="1">
      <c r="B21" s="210"/>
      <c r="C21" s="58" t="s">
        <v>97</v>
      </c>
      <c r="D21" s="211"/>
      <c r="E21" s="211"/>
      <c r="F21" s="211"/>
      <c r="G21" s="212"/>
      <c r="H21" s="213"/>
      <c r="I21" s="213"/>
      <c r="J21" s="213"/>
      <c r="K21" s="214"/>
      <c r="L21" s="206"/>
      <c r="M21" s="207"/>
      <c r="N21" s="208"/>
      <c r="O21" s="76">
        <f>O20</f>
        <v>3.3916666666666666</v>
      </c>
      <c r="P21" s="177">
        <v>0</v>
      </c>
      <c r="Q21" s="177">
        <f>Q20</f>
        <v>69.7</v>
      </c>
      <c r="R21" s="168" t="str">
        <f>INDEX('Base PF'!K$7:K$25,MATCH('Desl. Base PF'!C21,'Base PF'!B$7:B$25,0))</f>
        <v>SIM</v>
      </c>
      <c r="S21" s="168">
        <v>1</v>
      </c>
    </row>
    <row r="22" spans="2:19" ht="15.75" customHeight="1">
      <c r="B22" s="209">
        <v>10</v>
      </c>
      <c r="C22" s="58" t="s">
        <v>100</v>
      </c>
      <c r="D22" s="211">
        <v>205</v>
      </c>
      <c r="E22" s="211">
        <v>31.5</v>
      </c>
      <c r="F22" s="211">
        <v>216</v>
      </c>
      <c r="G22" s="212">
        <f t="shared" ref="G22" si="24">SUM(D22:F23)</f>
        <v>452.5</v>
      </c>
      <c r="H22" s="213">
        <f>3*60+11</f>
        <v>191</v>
      </c>
      <c r="I22" s="213">
        <v>38</v>
      </c>
      <c r="J22" s="213">
        <f>3*60+13</f>
        <v>193</v>
      </c>
      <c r="K22" s="214">
        <f t="shared" ref="K22" si="25">SUM(H22:J23)</f>
        <v>422</v>
      </c>
      <c r="L22" s="205">
        <f t="shared" ref="L22" si="26">K22/60</f>
        <v>7.0333333333333332</v>
      </c>
      <c r="M22" s="207">
        <f>(6.3+11.8)</f>
        <v>18.100000000000001</v>
      </c>
      <c r="N22" s="208">
        <v>2</v>
      </c>
      <c r="O22" s="76">
        <f t="shared" ref="O22" si="27">L22/N22</f>
        <v>3.5166666666666666</v>
      </c>
      <c r="P22" s="177">
        <f>M22/N22</f>
        <v>9.0500000000000007</v>
      </c>
      <c r="Q22" s="177">
        <f>E$42/N22</f>
        <v>69.7</v>
      </c>
      <c r="R22" s="168" t="str">
        <f>INDEX('Base PF'!K$7:K$25,MATCH('Desl. Base PF'!C22,'Base PF'!B$7:B$25,0))</f>
        <v>SIM</v>
      </c>
      <c r="S22" s="168">
        <v>1</v>
      </c>
    </row>
    <row r="23" spans="2:19" ht="15.75" customHeight="1">
      <c r="B23" s="210"/>
      <c r="C23" s="58" t="s">
        <v>98</v>
      </c>
      <c r="D23" s="211"/>
      <c r="E23" s="211"/>
      <c r="F23" s="211"/>
      <c r="G23" s="212"/>
      <c r="H23" s="213"/>
      <c r="I23" s="213"/>
      <c r="J23" s="213"/>
      <c r="K23" s="214"/>
      <c r="L23" s="206"/>
      <c r="M23" s="207"/>
      <c r="N23" s="208"/>
      <c r="O23" s="76">
        <f>O22</f>
        <v>3.5166666666666666</v>
      </c>
      <c r="P23" s="177">
        <f>P22</f>
        <v>9.0500000000000007</v>
      </c>
      <c r="Q23" s="177">
        <f>Q22</f>
        <v>69.7</v>
      </c>
      <c r="R23" s="168" t="str">
        <f>INDEX('Base PF'!K$7:K$25,MATCH('Desl. Base PF'!C23,'Base PF'!B$7:B$25,0))</f>
        <v>SIM</v>
      </c>
      <c r="S23" s="168">
        <v>1</v>
      </c>
    </row>
    <row r="24" spans="2:19" ht="19.5" customHeight="1">
      <c r="B24" s="219" t="s">
        <v>101</v>
      </c>
      <c r="C24" s="219"/>
      <c r="D24" s="219"/>
      <c r="E24" s="219"/>
      <c r="F24" s="219"/>
      <c r="G24" s="78">
        <f>SUM(G5:G23)</f>
        <v>2487.6</v>
      </c>
      <c r="H24" s="220" t="s">
        <v>101</v>
      </c>
      <c r="I24" s="220"/>
      <c r="J24" s="220"/>
      <c r="K24" s="79">
        <f t="shared" ref="K24:Q24" si="28">SUM(K5:K23)</f>
        <v>2393</v>
      </c>
      <c r="L24" s="80">
        <f t="shared" si="28"/>
        <v>39.883333333333333</v>
      </c>
      <c r="M24" s="81">
        <f t="shared" si="28"/>
        <v>23</v>
      </c>
      <c r="N24" s="82">
        <f t="shared" si="28"/>
        <v>19</v>
      </c>
      <c r="O24" s="179">
        <f t="shared" si="28"/>
        <v>39.883333333333333</v>
      </c>
      <c r="P24" s="81">
        <f t="shared" si="28"/>
        <v>23</v>
      </c>
      <c r="Q24" s="81">
        <f t="shared" si="28"/>
        <v>418.2</v>
      </c>
      <c r="R24" s="81"/>
      <c r="S24" s="81"/>
    </row>
    <row r="25" spans="2:19" ht="16.5" customHeight="1">
      <c r="B25" s="83"/>
      <c r="C25" s="83"/>
      <c r="D25" s="83"/>
      <c r="E25" s="83"/>
      <c r="F25" s="83"/>
    </row>
    <row r="26" spans="2:19" ht="18.75" customHeight="1">
      <c r="B26" s="221" t="s">
        <v>121</v>
      </c>
      <c r="C26" s="221"/>
      <c r="D26" s="221"/>
      <c r="E26" s="221"/>
      <c r="F26" s="83"/>
      <c r="G26" s="83"/>
      <c r="H26" s="83"/>
      <c r="I26" s="83"/>
      <c r="J26" s="83"/>
      <c r="K26" s="83"/>
      <c r="L26" s="83"/>
      <c r="M26" s="83"/>
      <c r="N26" s="84"/>
      <c r="O26" s="84"/>
    </row>
    <row r="27" spans="2:19" ht="18.75" customHeight="1">
      <c r="B27" s="85" t="s">
        <v>122</v>
      </c>
      <c r="C27" s="85" t="s">
        <v>123</v>
      </c>
      <c r="D27" s="85" t="s">
        <v>124</v>
      </c>
      <c r="E27" s="85" t="s">
        <v>125</v>
      </c>
      <c r="F27" s="83"/>
      <c r="G27" s="83"/>
      <c r="H27" s="84"/>
      <c r="I27" s="84"/>
      <c r="J27" s="83"/>
      <c r="K27" s="83"/>
      <c r="L27" s="83"/>
      <c r="M27" s="83"/>
      <c r="N27" s="84"/>
      <c r="O27" s="84"/>
    </row>
    <row r="28" spans="2:19" ht="18.75" customHeight="1">
      <c r="B28" s="37" t="s">
        <v>126</v>
      </c>
      <c r="C28" s="86" t="s">
        <v>127</v>
      </c>
      <c r="D28" s="37" t="s">
        <v>128</v>
      </c>
      <c r="E28" s="87">
        <f>'Comp. Veículo'!D11</f>
        <v>53.97</v>
      </c>
      <c r="F28" s="83"/>
      <c r="G28" s="83"/>
      <c r="H28" s="88"/>
      <c r="I28" s="88"/>
      <c r="J28" s="83"/>
      <c r="K28" s="83"/>
      <c r="L28" s="83"/>
      <c r="M28" s="83"/>
      <c r="N28" s="84"/>
      <c r="O28" s="84"/>
    </row>
    <row r="29" spans="2:19" ht="18.75" customHeight="1">
      <c r="B29" s="89" t="s">
        <v>129</v>
      </c>
      <c r="C29" s="90" t="s">
        <v>127</v>
      </c>
      <c r="D29" s="89" t="s">
        <v>130</v>
      </c>
      <c r="E29" s="91">
        <f>'Comp. Veículo'!D27</f>
        <v>6.78</v>
      </c>
      <c r="F29" s="83"/>
      <c r="G29" s="83"/>
      <c r="H29" s="88"/>
      <c r="I29" s="88"/>
      <c r="J29" s="83"/>
      <c r="K29" s="83"/>
      <c r="L29" s="83"/>
      <c r="M29" s="83"/>
      <c r="N29" s="84"/>
      <c r="O29" s="84"/>
    </row>
    <row r="30" spans="2:19" ht="47.25" customHeight="1">
      <c r="B30" s="222" t="s">
        <v>131</v>
      </c>
      <c r="C30" s="222"/>
      <c r="D30" s="222"/>
      <c r="E30" s="222"/>
      <c r="F30" s="92"/>
      <c r="G30" s="92"/>
      <c r="H30" s="92"/>
      <c r="I30" s="92"/>
      <c r="J30" s="92"/>
      <c r="K30" s="92"/>
      <c r="L30" s="92"/>
      <c r="M30" s="83"/>
      <c r="N30" s="84"/>
      <c r="O30" s="84"/>
    </row>
    <row r="31" spans="2:19" ht="16.5" customHeight="1">
      <c r="B31" s="93"/>
      <c r="C31" s="93"/>
      <c r="D31" s="93"/>
      <c r="E31" s="93"/>
      <c r="F31" s="92"/>
      <c r="G31" s="92"/>
      <c r="H31" s="92"/>
      <c r="I31" s="92"/>
      <c r="J31" s="92"/>
      <c r="K31" s="92"/>
      <c r="L31" s="92"/>
      <c r="M31" s="83"/>
      <c r="N31" s="84"/>
      <c r="O31" s="84"/>
    </row>
    <row r="32" spans="2:19" ht="16.5" customHeight="1">
      <c r="B32" s="221" t="s">
        <v>132</v>
      </c>
      <c r="C32" s="221"/>
      <c r="D32" s="83"/>
      <c r="E32" s="83"/>
      <c r="F32" s="83"/>
      <c r="G32" s="83"/>
      <c r="H32" s="83"/>
      <c r="I32" s="83"/>
      <c r="J32" s="83"/>
      <c r="K32" s="83"/>
      <c r="L32" s="83"/>
      <c r="M32" s="83"/>
      <c r="N32" s="84"/>
      <c r="O32" s="84"/>
    </row>
    <row r="33" spans="2:15" ht="16.5" customHeight="1">
      <c r="B33" s="37" t="s">
        <v>128</v>
      </c>
      <c r="C33" s="87">
        <f>E28*L24</f>
        <v>2152.5034999999998</v>
      </c>
      <c r="D33" s="83"/>
      <c r="E33" s="83"/>
      <c r="F33" s="83"/>
      <c r="G33" s="83"/>
      <c r="H33" s="83"/>
      <c r="I33" s="83"/>
      <c r="J33" s="83"/>
      <c r="K33" s="83"/>
      <c r="L33" s="83"/>
      <c r="M33" s="83"/>
      <c r="N33" s="84"/>
      <c r="O33" s="84"/>
    </row>
    <row r="34" spans="2:15" ht="16.5" customHeight="1">
      <c r="B34" s="37" t="s">
        <v>130</v>
      </c>
      <c r="C34" s="87">
        <f>E29*('Base PF'!N26/12)</f>
        <v>409.79449999999991</v>
      </c>
      <c r="D34" s="83"/>
      <c r="E34" s="83"/>
      <c r="F34" s="83"/>
      <c r="G34" s="83"/>
      <c r="H34" s="83"/>
      <c r="I34" s="83"/>
      <c r="J34" s="83"/>
      <c r="K34" s="83"/>
      <c r="L34" s="83"/>
      <c r="M34" s="83"/>
      <c r="N34" s="84"/>
      <c r="O34" s="84"/>
    </row>
    <row r="35" spans="2:15" ht="16.5" customHeight="1">
      <c r="B35" s="94" t="s">
        <v>25</v>
      </c>
      <c r="C35" s="95">
        <f>C33+C34</f>
        <v>2562.2979999999998</v>
      </c>
      <c r="D35" s="83"/>
      <c r="E35" s="83"/>
      <c r="F35" s="83"/>
      <c r="G35" s="83"/>
      <c r="H35" s="83"/>
      <c r="I35" s="83"/>
      <c r="M35" s="83"/>
      <c r="N35" s="84"/>
      <c r="O35" s="84"/>
    </row>
    <row r="36" spans="2:15" ht="16.5" customHeight="1">
      <c r="B36" s="83"/>
      <c r="C36" s="96"/>
      <c r="D36" s="83"/>
      <c r="E36" s="83"/>
      <c r="F36" s="83"/>
      <c r="G36" s="83"/>
      <c r="H36" s="83"/>
      <c r="I36" s="83"/>
      <c r="J36" s="83"/>
      <c r="K36" s="83"/>
      <c r="L36" s="83"/>
      <c r="M36" s="83"/>
      <c r="N36" s="84"/>
      <c r="O36" s="84"/>
    </row>
    <row r="37" spans="2:15" ht="16.5" customHeight="1">
      <c r="B37" s="223" t="s">
        <v>133</v>
      </c>
      <c r="C37" s="223"/>
      <c r="D37" s="83"/>
      <c r="J37" s="83"/>
      <c r="K37" s="83"/>
      <c r="L37" s="83"/>
      <c r="M37" s="83"/>
      <c r="N37" s="84"/>
      <c r="O37" s="84"/>
    </row>
    <row r="38" spans="2:15" ht="16.5" customHeight="1">
      <c r="B38" s="97" t="s">
        <v>125</v>
      </c>
      <c r="C38" s="98">
        <f>SUM(M5:M23)</f>
        <v>23</v>
      </c>
      <c r="J38" s="83"/>
      <c r="K38" s="83"/>
      <c r="L38" s="83"/>
      <c r="M38" s="83"/>
      <c r="N38" s="84"/>
      <c r="O38" s="84"/>
    </row>
    <row r="39" spans="2:15" ht="16.5" customHeight="1">
      <c r="B39" s="83"/>
      <c r="C39" s="99"/>
      <c r="D39" s="83"/>
      <c r="E39" s="83"/>
      <c r="F39" s="83"/>
      <c r="G39" s="83"/>
      <c r="H39" s="83"/>
      <c r="I39" s="83"/>
      <c r="J39" s="83"/>
      <c r="K39" s="83"/>
      <c r="L39" s="83"/>
      <c r="M39" s="83"/>
      <c r="N39" s="84"/>
      <c r="O39" s="84"/>
    </row>
    <row r="40" spans="2:15">
      <c r="B40" s="217" t="s">
        <v>63</v>
      </c>
      <c r="C40" s="217"/>
      <c r="D40" s="217"/>
      <c r="E40" s="217"/>
    </row>
    <row r="41" spans="2:15">
      <c r="B41" s="100" t="s">
        <v>134</v>
      </c>
      <c r="C41" s="100" t="s">
        <v>123</v>
      </c>
      <c r="D41" s="100" t="s">
        <v>124</v>
      </c>
      <c r="E41" s="100" t="s">
        <v>125</v>
      </c>
    </row>
    <row r="42" spans="2:15" ht="25.5">
      <c r="B42" s="89" t="s">
        <v>135</v>
      </c>
      <c r="C42" s="101" t="s">
        <v>136</v>
      </c>
      <c r="D42" s="89" t="s">
        <v>137</v>
      </c>
      <c r="E42" s="91">
        <v>139.4</v>
      </c>
    </row>
    <row r="43" spans="2:15">
      <c r="B43" s="218" t="s">
        <v>138</v>
      </c>
      <c r="C43" s="218"/>
      <c r="D43" s="218"/>
      <c r="E43" s="218"/>
    </row>
  </sheetData>
  <mergeCells count="117">
    <mergeCell ref="M22:M23"/>
    <mergeCell ref="N22:N23"/>
    <mergeCell ref="B22:B23"/>
    <mergeCell ref="B40:E40"/>
    <mergeCell ref="B43:E43"/>
    <mergeCell ref="B24:F24"/>
    <mergeCell ref="H24:J24"/>
    <mergeCell ref="B26:E26"/>
    <mergeCell ref="B30:E30"/>
    <mergeCell ref="B32:C32"/>
    <mergeCell ref="B37:C37"/>
    <mergeCell ref="L22:L23"/>
    <mergeCell ref="D22:D23"/>
    <mergeCell ref="E22:E23"/>
    <mergeCell ref="F22:F23"/>
    <mergeCell ref="G22:G23"/>
    <mergeCell ref="H22:H23"/>
    <mergeCell ref="I22:I23"/>
    <mergeCell ref="J22:J23"/>
    <mergeCell ref="K22:K23"/>
    <mergeCell ref="G13:G14"/>
    <mergeCell ref="H13:H14"/>
    <mergeCell ref="I13:I14"/>
    <mergeCell ref="J13:J14"/>
    <mergeCell ref="K13:K14"/>
    <mergeCell ref="L13:L14"/>
    <mergeCell ref="M13:M14"/>
    <mergeCell ref="N13:N14"/>
    <mergeCell ref="B15:B16"/>
    <mergeCell ref="D15:D16"/>
    <mergeCell ref="E15:E16"/>
    <mergeCell ref="F15:F16"/>
    <mergeCell ref="G15:G16"/>
    <mergeCell ref="H15:H16"/>
    <mergeCell ref="I15:I16"/>
    <mergeCell ref="J15:J16"/>
    <mergeCell ref="K15:K16"/>
    <mergeCell ref="L15:L16"/>
    <mergeCell ref="M15:M16"/>
    <mergeCell ref="N15:N16"/>
    <mergeCell ref="B13:B14"/>
    <mergeCell ref="D13:D14"/>
    <mergeCell ref="E13:E14"/>
    <mergeCell ref="F13:F14"/>
    <mergeCell ref="B11:B12"/>
    <mergeCell ref="D11:D12"/>
    <mergeCell ref="E11:E12"/>
    <mergeCell ref="F11:F12"/>
    <mergeCell ref="G11:G12"/>
    <mergeCell ref="H11:H12"/>
    <mergeCell ref="I11:I12"/>
    <mergeCell ref="J11:J12"/>
    <mergeCell ref="B2:S2"/>
    <mergeCell ref="B7:B8"/>
    <mergeCell ref="B9:B10"/>
    <mergeCell ref="D9:D10"/>
    <mergeCell ref="E9:E10"/>
    <mergeCell ref="F9:F10"/>
    <mergeCell ref="G9:G10"/>
    <mergeCell ref="H9:H10"/>
    <mergeCell ref="I9:I10"/>
    <mergeCell ref="J9:J10"/>
    <mergeCell ref="D7:D8"/>
    <mergeCell ref="E7:E8"/>
    <mergeCell ref="F7:F8"/>
    <mergeCell ref="G7:G8"/>
    <mergeCell ref="H7:H8"/>
    <mergeCell ref="I7:I8"/>
    <mergeCell ref="B20:B21"/>
    <mergeCell ref="D20:D21"/>
    <mergeCell ref="E20:E21"/>
    <mergeCell ref="F20:F21"/>
    <mergeCell ref="G20:G21"/>
    <mergeCell ref="H20:H21"/>
    <mergeCell ref="I20:I21"/>
    <mergeCell ref="J20:J21"/>
    <mergeCell ref="K20:K21"/>
    <mergeCell ref="N7:N8"/>
    <mergeCell ref="L20:L21"/>
    <mergeCell ref="M20:M21"/>
    <mergeCell ref="N20:N21"/>
    <mergeCell ref="J7:J8"/>
    <mergeCell ref="K9:K10"/>
    <mergeCell ref="L9:L10"/>
    <mergeCell ref="M9:M10"/>
    <mergeCell ref="N9:N10"/>
    <mergeCell ref="K7:K8"/>
    <mergeCell ref="L7:L8"/>
    <mergeCell ref="M7:M8"/>
    <mergeCell ref="K11:K12"/>
    <mergeCell ref="L11:L12"/>
    <mergeCell ref="M11:M12"/>
    <mergeCell ref="N11:N12"/>
    <mergeCell ref="L5:L6"/>
    <mergeCell ref="M5:M6"/>
    <mergeCell ref="N5:N6"/>
    <mergeCell ref="B18:B19"/>
    <mergeCell ref="D18:D19"/>
    <mergeCell ref="E18:E19"/>
    <mergeCell ref="F18:F19"/>
    <mergeCell ref="G18:G19"/>
    <mergeCell ref="H18:H19"/>
    <mergeCell ref="I18:I19"/>
    <mergeCell ref="J18:J19"/>
    <mergeCell ref="K18:K19"/>
    <mergeCell ref="L18:L19"/>
    <mergeCell ref="M18:M19"/>
    <mergeCell ref="N18:N19"/>
    <mergeCell ref="B5:B6"/>
    <mergeCell ref="D5:D6"/>
    <mergeCell ref="E5:E6"/>
    <mergeCell ref="F5:F6"/>
    <mergeCell ref="G5:G6"/>
    <mergeCell ref="H5:H6"/>
    <mergeCell ref="I5:I6"/>
    <mergeCell ref="J5:J6"/>
    <mergeCell ref="K5:K6"/>
  </mergeCells>
  <printOptions horizontalCentered="1" verticalCentered="1"/>
  <pageMargins left="0.78749999999999998" right="0.78749999999999998" top="0.196527777777778" bottom="0.196527777777778" header="0.511811023622047" footer="0.511811023622047"/>
  <pageSetup paperSize="9" pageOrder="overThenDown" orientation="portrait" useFirstPageNumber="1"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B1:I32"/>
  <sheetViews>
    <sheetView showGridLines="0" zoomScaleNormal="100" workbookViewId="0">
      <selection activeCell="D9" sqref="D9:I9"/>
    </sheetView>
  </sheetViews>
  <sheetFormatPr defaultColWidth="8.625" defaultRowHeight="14.25"/>
  <cols>
    <col min="1" max="1" width="5.625" customWidth="1"/>
    <col min="2" max="2" width="3" customWidth="1"/>
    <col min="3" max="3" width="12.25" customWidth="1"/>
    <col min="4" max="4" width="60" customWidth="1"/>
    <col min="5" max="5" width="30" customWidth="1"/>
    <col min="6" max="6" width="10" customWidth="1"/>
    <col min="7" max="7" width="13.75" customWidth="1"/>
    <col min="8" max="8" width="12" customWidth="1"/>
    <col min="9" max="9" width="14" customWidth="1"/>
  </cols>
  <sheetData>
    <row r="1" spans="2:9" ht="15" customHeight="1"/>
    <row r="2" spans="2:9" ht="24.75" customHeight="1">
      <c r="B2" s="224" t="s">
        <v>139</v>
      </c>
      <c r="C2" s="224"/>
      <c r="D2" s="224"/>
      <c r="E2" s="224"/>
      <c r="F2" s="224"/>
      <c r="G2" s="224"/>
      <c r="H2" s="224"/>
      <c r="I2" s="224"/>
    </row>
    <row r="3" spans="2:9" ht="21" customHeight="1"/>
    <row r="4" spans="2:9" ht="16.5" customHeight="1">
      <c r="B4" s="225" t="s">
        <v>140</v>
      </c>
      <c r="C4" s="225"/>
      <c r="D4" s="225"/>
      <c r="E4" s="225"/>
      <c r="F4" s="225"/>
      <c r="G4" s="225"/>
      <c r="H4" s="225"/>
      <c r="I4" s="225"/>
    </row>
    <row r="5" spans="2:9" ht="16.5" customHeight="1">
      <c r="B5" s="226" t="s">
        <v>141</v>
      </c>
      <c r="C5" s="226"/>
      <c r="D5" s="227" t="s">
        <v>142</v>
      </c>
      <c r="E5" s="227"/>
      <c r="F5" s="227"/>
      <c r="G5" s="227"/>
      <c r="H5" s="227"/>
      <c r="I5" s="227"/>
    </row>
    <row r="6" spans="2:9" ht="16.5" customHeight="1">
      <c r="B6" s="226" t="s">
        <v>123</v>
      </c>
      <c r="C6" s="226"/>
      <c r="D6" s="227" t="s">
        <v>143</v>
      </c>
      <c r="E6" s="227"/>
      <c r="F6" s="227"/>
      <c r="G6" s="227"/>
      <c r="H6" s="227"/>
      <c r="I6" s="227"/>
    </row>
    <row r="7" spans="2:9" ht="16.5" customHeight="1">
      <c r="B7" s="226" t="s">
        <v>144</v>
      </c>
      <c r="C7" s="226"/>
      <c r="D7" s="228" t="s">
        <v>282</v>
      </c>
      <c r="E7" s="228"/>
      <c r="F7" s="228"/>
      <c r="G7" s="228"/>
      <c r="H7" s="228"/>
      <c r="I7" s="228"/>
    </row>
    <row r="8" spans="2:9" ht="16.5" customHeight="1">
      <c r="B8" s="226" t="s">
        <v>145</v>
      </c>
      <c r="C8" s="226"/>
      <c r="D8" s="227" t="s">
        <v>146</v>
      </c>
      <c r="E8" s="227"/>
      <c r="F8" s="227"/>
      <c r="G8" s="227"/>
      <c r="H8" s="227"/>
      <c r="I8" s="227"/>
    </row>
    <row r="9" spans="2:9" ht="16.5" customHeight="1">
      <c r="B9" s="226" t="s">
        <v>147</v>
      </c>
      <c r="C9" s="226"/>
      <c r="D9" s="229" t="s">
        <v>298</v>
      </c>
      <c r="E9" s="229"/>
      <c r="F9" s="229"/>
      <c r="G9" s="229"/>
      <c r="H9" s="229"/>
      <c r="I9" s="229"/>
    </row>
    <row r="10" spans="2:9" ht="16.5" customHeight="1">
      <c r="B10" s="226" t="s">
        <v>124</v>
      </c>
      <c r="C10" s="226"/>
      <c r="D10" s="227" t="s">
        <v>128</v>
      </c>
      <c r="E10" s="227"/>
      <c r="F10" s="227"/>
      <c r="G10" s="227"/>
      <c r="H10" s="227"/>
      <c r="I10" s="227"/>
    </row>
    <row r="11" spans="2:9" ht="16.5" customHeight="1">
      <c r="B11" s="226" t="s">
        <v>125</v>
      </c>
      <c r="C11" s="226"/>
      <c r="D11" s="230">
        <f>SUM(I14:I18)</f>
        <v>53.97</v>
      </c>
      <c r="E11" s="230"/>
      <c r="F11" s="230"/>
      <c r="G11" s="230"/>
      <c r="H11" s="230"/>
      <c r="I11" s="230"/>
    </row>
    <row r="12" spans="2:9" ht="15.75" customHeight="1">
      <c r="B12" s="102"/>
      <c r="C12" s="102"/>
      <c r="D12" s="103"/>
      <c r="E12" s="103"/>
      <c r="F12" s="103"/>
      <c r="G12" s="103"/>
      <c r="H12" s="103"/>
      <c r="I12" s="103"/>
    </row>
    <row r="13" spans="2:9" ht="29.25" customHeight="1">
      <c r="B13" s="104"/>
      <c r="C13" s="104" t="s">
        <v>148</v>
      </c>
      <c r="D13" s="104" t="s">
        <v>123</v>
      </c>
      <c r="E13" s="104" t="s">
        <v>147</v>
      </c>
      <c r="F13" s="104" t="s">
        <v>124</v>
      </c>
      <c r="G13" s="104" t="s">
        <v>287</v>
      </c>
      <c r="H13" s="104" t="s">
        <v>149</v>
      </c>
      <c r="I13" s="104" t="s">
        <v>125</v>
      </c>
    </row>
    <row r="14" spans="2:9" ht="38.25">
      <c r="B14" s="105" t="s">
        <v>150</v>
      </c>
      <c r="C14" s="105" t="s">
        <v>151</v>
      </c>
      <c r="D14" s="106" t="s">
        <v>152</v>
      </c>
      <c r="E14" s="106" t="s">
        <v>286</v>
      </c>
      <c r="F14" s="105" t="s">
        <v>153</v>
      </c>
      <c r="G14" s="171">
        <v>4.7300000000000004</v>
      </c>
      <c r="H14" s="107">
        <v>1</v>
      </c>
      <c r="I14" s="169">
        <f>G14*H14</f>
        <v>4.7300000000000004</v>
      </c>
    </row>
    <row r="15" spans="2:9" ht="38.25">
      <c r="B15" s="105" t="s">
        <v>150</v>
      </c>
      <c r="C15" s="105" t="s">
        <v>154</v>
      </c>
      <c r="D15" s="106" t="s">
        <v>155</v>
      </c>
      <c r="E15" s="106" t="s">
        <v>286</v>
      </c>
      <c r="F15" s="105" t="s">
        <v>153</v>
      </c>
      <c r="G15" s="171">
        <v>1.46</v>
      </c>
      <c r="H15" s="107">
        <v>1</v>
      </c>
      <c r="I15" s="169">
        <f>G15*H15</f>
        <v>1.46</v>
      </c>
    </row>
    <row r="16" spans="2:9" ht="38.25">
      <c r="B16" s="105" t="s">
        <v>150</v>
      </c>
      <c r="C16" s="105" t="s">
        <v>156</v>
      </c>
      <c r="D16" s="106" t="s">
        <v>157</v>
      </c>
      <c r="E16" s="106" t="s">
        <v>286</v>
      </c>
      <c r="F16" s="105" t="s">
        <v>153</v>
      </c>
      <c r="G16" s="171">
        <v>0.59</v>
      </c>
      <c r="H16" s="107">
        <v>1</v>
      </c>
      <c r="I16" s="169">
        <f>G16*H16</f>
        <v>0.59</v>
      </c>
    </row>
    <row r="17" spans="2:9" ht="38.25">
      <c r="B17" s="105" t="s">
        <v>150</v>
      </c>
      <c r="C17" s="105" t="s">
        <v>158</v>
      </c>
      <c r="D17" s="106" t="s">
        <v>159</v>
      </c>
      <c r="E17" s="106" t="s">
        <v>286</v>
      </c>
      <c r="F17" s="105" t="s">
        <v>153</v>
      </c>
      <c r="G17" s="171">
        <v>5.92</v>
      </c>
      <c r="H17" s="107">
        <v>1</v>
      </c>
      <c r="I17" s="169">
        <f>G17*H17</f>
        <v>5.92</v>
      </c>
    </row>
    <row r="18" spans="2:9" ht="38.25">
      <c r="B18" s="105" t="s">
        <v>150</v>
      </c>
      <c r="C18" s="105" t="s">
        <v>160</v>
      </c>
      <c r="D18" s="106" t="s">
        <v>161</v>
      </c>
      <c r="E18" s="106" t="s">
        <v>286</v>
      </c>
      <c r="F18" s="105" t="s">
        <v>153</v>
      </c>
      <c r="G18" s="171">
        <v>41.27</v>
      </c>
      <c r="H18" s="107">
        <v>1</v>
      </c>
      <c r="I18" s="169">
        <f>G18*H18</f>
        <v>41.27</v>
      </c>
    </row>
    <row r="19" spans="2:9" ht="27.75" customHeight="1"/>
    <row r="20" spans="2:9" ht="16.5" customHeight="1">
      <c r="B20" s="224" t="s">
        <v>162</v>
      </c>
      <c r="C20" s="224"/>
      <c r="D20" s="224"/>
      <c r="E20" s="224"/>
      <c r="F20" s="224"/>
      <c r="G20" s="224"/>
      <c r="H20" s="224"/>
      <c r="I20" s="224"/>
    </row>
    <row r="21" spans="2:9" ht="16.5" customHeight="1">
      <c r="B21" s="226" t="s">
        <v>141</v>
      </c>
      <c r="C21" s="226"/>
      <c r="D21" s="227" t="s">
        <v>163</v>
      </c>
      <c r="E21" s="227"/>
      <c r="F21" s="227"/>
      <c r="G21" s="227"/>
      <c r="H21" s="227"/>
      <c r="I21" s="227"/>
    </row>
    <row r="22" spans="2:9" ht="16.5" customHeight="1">
      <c r="B22" s="226" t="s">
        <v>123</v>
      </c>
      <c r="C22" s="226"/>
      <c r="D22" s="227" t="s">
        <v>164</v>
      </c>
      <c r="E22" s="227"/>
      <c r="F22" s="227"/>
      <c r="G22" s="227"/>
      <c r="H22" s="227"/>
      <c r="I22" s="227"/>
    </row>
    <row r="23" spans="2:9" ht="16.5" customHeight="1">
      <c r="B23" s="226" t="s">
        <v>144</v>
      </c>
      <c r="C23" s="226"/>
      <c r="D23" s="231" t="str">
        <f>D7</f>
        <v>05/2025</v>
      </c>
      <c r="E23" s="231"/>
      <c r="F23" s="231"/>
      <c r="G23" s="231"/>
      <c r="H23" s="231"/>
      <c r="I23" s="231"/>
    </row>
    <row r="24" spans="2:9" ht="16.5" customHeight="1">
      <c r="B24" s="226" t="s">
        <v>145</v>
      </c>
      <c r="C24" s="226"/>
      <c r="D24" s="227" t="str">
        <f>D8</f>
        <v>RIO GRANDE DO SUL</v>
      </c>
      <c r="E24" s="227"/>
      <c r="F24" s="227"/>
      <c r="G24" s="227"/>
      <c r="H24" s="227"/>
      <c r="I24" s="227"/>
    </row>
    <row r="25" spans="2:9" ht="16.5" customHeight="1">
      <c r="B25" s="226" t="s">
        <v>147</v>
      </c>
      <c r="C25" s="226"/>
      <c r="D25" s="229" t="s">
        <v>298</v>
      </c>
      <c r="E25" s="229"/>
      <c r="F25" s="229"/>
      <c r="G25" s="229"/>
      <c r="H25" s="229"/>
      <c r="I25" s="229"/>
    </row>
    <row r="26" spans="2:9" ht="16.5" customHeight="1">
      <c r="B26" s="226" t="s">
        <v>124</v>
      </c>
      <c r="C26" s="226"/>
      <c r="D26" s="227" t="s">
        <v>130</v>
      </c>
      <c r="E26" s="227"/>
      <c r="F26" s="227"/>
      <c r="G26" s="227"/>
      <c r="H26" s="227"/>
      <c r="I26" s="227"/>
    </row>
    <row r="27" spans="2:9" ht="16.5" customHeight="1">
      <c r="B27" s="226" t="s">
        <v>125</v>
      </c>
      <c r="C27" s="226"/>
      <c r="D27" s="232">
        <f>SUM(I30:I32)</f>
        <v>6.78</v>
      </c>
      <c r="E27" s="232"/>
      <c r="F27" s="232"/>
      <c r="G27" s="232"/>
      <c r="H27" s="232"/>
      <c r="I27" s="232"/>
    </row>
    <row r="28" spans="2:9" ht="15.75" customHeight="1">
      <c r="B28" s="102"/>
      <c r="C28" s="102"/>
      <c r="D28" s="103"/>
      <c r="E28" s="103"/>
      <c r="F28" s="103"/>
      <c r="G28" s="103"/>
      <c r="H28" s="103"/>
      <c r="I28" s="103"/>
    </row>
    <row r="29" spans="2:9" ht="29.25" customHeight="1">
      <c r="B29" s="104"/>
      <c r="C29" s="104" t="s">
        <v>148</v>
      </c>
      <c r="D29" s="104" t="s">
        <v>123</v>
      </c>
      <c r="E29" s="104" t="s">
        <v>147</v>
      </c>
      <c r="F29" s="104" t="s">
        <v>124</v>
      </c>
      <c r="G29" s="104" t="s">
        <v>287</v>
      </c>
      <c r="H29" s="104" t="s">
        <v>149</v>
      </c>
      <c r="I29" s="104" t="s">
        <v>125</v>
      </c>
    </row>
    <row r="30" spans="2:9" ht="38.25">
      <c r="B30" s="105" t="s">
        <v>150</v>
      </c>
      <c r="C30" s="105" t="s">
        <v>151</v>
      </c>
      <c r="D30" s="106" t="s">
        <v>152</v>
      </c>
      <c r="E30" s="106" t="s">
        <v>286</v>
      </c>
      <c r="F30" s="105" t="s">
        <v>153</v>
      </c>
      <c r="G30" s="171">
        <f>G14</f>
        <v>4.7300000000000004</v>
      </c>
      <c r="H30" s="107">
        <v>1</v>
      </c>
      <c r="I30" s="169">
        <f>G30*H30</f>
        <v>4.7300000000000004</v>
      </c>
    </row>
    <row r="31" spans="2:9" ht="38.25">
      <c r="B31" s="105" t="s">
        <v>150</v>
      </c>
      <c r="C31" s="105" t="s">
        <v>154</v>
      </c>
      <c r="D31" s="106" t="s">
        <v>155</v>
      </c>
      <c r="E31" s="106" t="s">
        <v>286</v>
      </c>
      <c r="F31" s="105" t="s">
        <v>153</v>
      </c>
      <c r="G31" s="171">
        <f>G15</f>
        <v>1.46</v>
      </c>
      <c r="H31" s="107">
        <v>1</v>
      </c>
      <c r="I31" s="169">
        <f>G31*H31</f>
        <v>1.46</v>
      </c>
    </row>
    <row r="32" spans="2:9" ht="38.25">
      <c r="B32" s="105" t="s">
        <v>150</v>
      </c>
      <c r="C32" s="105" t="s">
        <v>156</v>
      </c>
      <c r="D32" s="106" t="s">
        <v>157</v>
      </c>
      <c r="E32" s="106" t="s">
        <v>286</v>
      </c>
      <c r="F32" s="105" t="s">
        <v>153</v>
      </c>
      <c r="G32" s="171">
        <f>G16</f>
        <v>0.59</v>
      </c>
      <c r="H32" s="107">
        <v>1</v>
      </c>
      <c r="I32" s="169">
        <f>G32*H32</f>
        <v>0.59</v>
      </c>
    </row>
  </sheetData>
  <mergeCells count="31">
    <mergeCell ref="B27:C27"/>
    <mergeCell ref="D27:I27"/>
    <mergeCell ref="B24:C24"/>
    <mergeCell ref="D24:I24"/>
    <mergeCell ref="B25:C25"/>
    <mergeCell ref="D25:I25"/>
    <mergeCell ref="B26:C26"/>
    <mergeCell ref="D26:I26"/>
    <mergeCell ref="B21:C21"/>
    <mergeCell ref="D21:I21"/>
    <mergeCell ref="B22:C22"/>
    <mergeCell ref="D22:I22"/>
    <mergeCell ref="B23:C23"/>
    <mergeCell ref="D23:I23"/>
    <mergeCell ref="B10:C10"/>
    <mergeCell ref="D10:I10"/>
    <mergeCell ref="B11:C11"/>
    <mergeCell ref="D11:I11"/>
    <mergeCell ref="B20:I20"/>
    <mergeCell ref="B7:C7"/>
    <mergeCell ref="D7:I7"/>
    <mergeCell ref="B8:C8"/>
    <mergeCell ref="D8:I8"/>
    <mergeCell ref="B9:C9"/>
    <mergeCell ref="D9:I9"/>
    <mergeCell ref="B2:I2"/>
    <mergeCell ref="B4:I4"/>
    <mergeCell ref="B5:C5"/>
    <mergeCell ref="D5:I5"/>
    <mergeCell ref="B6:C6"/>
    <mergeCell ref="D6:I6"/>
  </mergeCells>
  <printOptions horizontalCentered="1"/>
  <pageMargins left="0.17708333333333301" right="0.134027777777778" top="0.374305555555556" bottom="0.32013888888888897"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1:C16"/>
  <sheetViews>
    <sheetView zoomScale="110" zoomScaleNormal="110" workbookViewId="0">
      <selection activeCell="B16" sqref="B16:C16"/>
    </sheetView>
  </sheetViews>
  <sheetFormatPr defaultColWidth="8.5" defaultRowHeight="14.25"/>
  <cols>
    <col min="2" max="2" width="31.125" customWidth="1"/>
    <col min="3" max="3" width="25.375" customWidth="1"/>
  </cols>
  <sheetData>
    <row r="1" spans="1:3">
      <c r="A1" s="108"/>
    </row>
    <row r="2" spans="1:3" ht="14.25" customHeight="1">
      <c r="A2" s="108"/>
      <c r="B2" s="109"/>
      <c r="C2" s="110" t="s">
        <v>146</v>
      </c>
    </row>
    <row r="3" spans="1:3" ht="14.25" customHeight="1">
      <c r="A3" s="108"/>
      <c r="B3" s="111" t="s">
        <v>165</v>
      </c>
      <c r="C3" s="110" t="s">
        <v>166</v>
      </c>
    </row>
    <row r="4" spans="1:3" ht="14.25" customHeight="1">
      <c r="A4" s="108"/>
      <c r="B4" s="111" t="s">
        <v>167</v>
      </c>
      <c r="C4" s="112" t="s">
        <v>168</v>
      </c>
    </row>
    <row r="5" spans="1:3" ht="14.25" customHeight="1">
      <c r="A5" s="108"/>
      <c r="B5" s="111" t="s">
        <v>169</v>
      </c>
      <c r="C5" s="180">
        <v>45778</v>
      </c>
    </row>
    <row r="6" spans="1:3" ht="14.25" customHeight="1">
      <c r="A6" s="108"/>
      <c r="B6" s="111" t="s">
        <v>170</v>
      </c>
      <c r="C6" s="113">
        <v>62.21</v>
      </c>
    </row>
    <row r="7" spans="1:3" ht="14.25" customHeight="1">
      <c r="A7" s="108"/>
      <c r="B7" s="114"/>
      <c r="C7" s="115"/>
    </row>
    <row r="8" spans="1:3" ht="29.25" customHeight="1">
      <c r="A8" s="108"/>
      <c r="B8" s="116" t="s">
        <v>171</v>
      </c>
      <c r="C8" s="117" t="s">
        <v>172</v>
      </c>
    </row>
    <row r="9" spans="1:3" ht="14.25" customHeight="1">
      <c r="A9" s="108"/>
      <c r="B9" s="111" t="s">
        <v>173</v>
      </c>
      <c r="C9" s="118">
        <v>0.9022</v>
      </c>
    </row>
    <row r="10" spans="1:3" ht="14.25" customHeight="1">
      <c r="A10" s="108"/>
      <c r="B10" s="111" t="s">
        <v>174</v>
      </c>
      <c r="C10" s="118">
        <v>1.1284000000000001</v>
      </c>
    </row>
    <row r="11" spans="1:3" ht="14.25" customHeight="1">
      <c r="A11" s="108"/>
      <c r="B11" s="114"/>
      <c r="C11" s="114"/>
    </row>
    <row r="12" spans="1:3" ht="14.25" customHeight="1">
      <c r="A12" s="108"/>
      <c r="B12" s="119" t="s">
        <v>175</v>
      </c>
      <c r="C12" s="120"/>
    </row>
    <row r="13" spans="1:3" ht="14.25" customHeight="1">
      <c r="A13" s="108"/>
      <c r="B13" s="111" t="s">
        <v>176</v>
      </c>
      <c r="C13" s="121">
        <f>C6*(1+C9)</f>
        <v>118.33586200000001</v>
      </c>
    </row>
    <row r="14" spans="1:3" ht="15" customHeight="1">
      <c r="A14" s="108"/>
      <c r="B14" s="111" t="s">
        <v>177</v>
      </c>
      <c r="C14" s="121">
        <f>C6*(1+C10)</f>
        <v>132.40776400000001</v>
      </c>
    </row>
    <row r="15" spans="1:3">
      <c r="A15" s="108"/>
      <c r="B15" s="109"/>
      <c r="C15" s="109"/>
    </row>
    <row r="16" spans="1:3" ht="66" customHeight="1">
      <c r="A16" s="108"/>
      <c r="B16" s="233" t="s">
        <v>289</v>
      </c>
      <c r="C16" s="234"/>
    </row>
  </sheetData>
  <mergeCells count="1">
    <mergeCell ref="B16:C16"/>
  </mergeCells>
  <pageMargins left="0.51180555555555596" right="0.51180555555555596" top="0.78749999999999998" bottom="0.78749999999999998"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1:I21"/>
  <sheetViews>
    <sheetView zoomScaleNormal="100" workbookViewId="0">
      <selection activeCell="B21" sqref="B21:I21"/>
    </sheetView>
  </sheetViews>
  <sheetFormatPr defaultColWidth="8.5" defaultRowHeight="14.25"/>
  <cols>
    <col min="2" max="2" width="4.25" customWidth="1"/>
    <col min="3" max="3" width="16.25" customWidth="1"/>
    <col min="4" max="4" width="59.75" customWidth="1"/>
    <col min="5" max="5" width="11.25" customWidth="1"/>
    <col min="7" max="7" width="11.75" customWidth="1"/>
    <col min="8" max="8" width="11" customWidth="1"/>
    <col min="9" max="9" width="12.625" customWidth="1"/>
  </cols>
  <sheetData>
    <row r="1" spans="1:9" ht="14.25" customHeight="1">
      <c r="A1" s="122"/>
      <c r="B1" s="122"/>
      <c r="C1" s="122"/>
      <c r="D1" s="122"/>
      <c r="E1" s="122"/>
      <c r="F1" s="122"/>
      <c r="G1" s="122"/>
      <c r="H1" s="122"/>
      <c r="I1" s="122"/>
    </row>
    <row r="2" spans="1:9" ht="15" customHeight="1">
      <c r="B2" s="224" t="s">
        <v>178</v>
      </c>
      <c r="C2" s="224"/>
      <c r="D2" s="224"/>
      <c r="E2" s="224"/>
      <c r="F2" s="224"/>
      <c r="G2" s="224"/>
      <c r="H2" s="224"/>
      <c r="I2" s="224"/>
    </row>
    <row r="4" spans="1:9" ht="15" customHeight="1">
      <c r="B4" s="225" t="s">
        <v>179</v>
      </c>
      <c r="C4" s="225"/>
      <c r="D4" s="225"/>
      <c r="E4" s="225"/>
      <c r="F4" s="225"/>
      <c r="G4" s="225"/>
      <c r="H4" s="225"/>
      <c r="I4" s="225"/>
    </row>
    <row r="5" spans="1:9" ht="14.25" customHeight="1">
      <c r="B5" s="235" t="s">
        <v>141</v>
      </c>
      <c r="C5" s="235"/>
      <c r="D5" s="236">
        <v>91677</v>
      </c>
      <c r="E5" s="236"/>
      <c r="F5" s="236"/>
      <c r="G5" s="236"/>
      <c r="H5" s="236"/>
      <c r="I5" s="236"/>
    </row>
    <row r="6" spans="1:9" ht="14.25" customHeight="1">
      <c r="B6" s="235" t="s">
        <v>123</v>
      </c>
      <c r="C6" s="235"/>
      <c r="D6" s="236" t="s">
        <v>180</v>
      </c>
      <c r="E6" s="236"/>
      <c r="F6" s="236"/>
      <c r="G6" s="236"/>
      <c r="H6" s="236"/>
      <c r="I6" s="236"/>
    </row>
    <row r="7" spans="1:9" ht="14.25" customHeight="1">
      <c r="B7" s="235" t="s">
        <v>144</v>
      </c>
      <c r="C7" s="235"/>
      <c r="D7" s="237" t="s">
        <v>282</v>
      </c>
      <c r="E7" s="237"/>
      <c r="F7" s="237"/>
      <c r="G7" s="237"/>
      <c r="H7" s="237"/>
      <c r="I7" s="237"/>
    </row>
    <row r="8" spans="1:9" ht="14.25" customHeight="1">
      <c r="B8" s="235" t="s">
        <v>145</v>
      </c>
      <c r="C8" s="235"/>
      <c r="D8" s="236" t="s">
        <v>146</v>
      </c>
      <c r="E8" s="236"/>
      <c r="F8" s="236"/>
      <c r="G8" s="236"/>
      <c r="H8" s="236"/>
      <c r="I8" s="236"/>
    </row>
    <row r="9" spans="1:9" ht="14.25" customHeight="1">
      <c r="B9" s="235" t="s">
        <v>147</v>
      </c>
      <c r="C9" s="235"/>
      <c r="D9" s="236" t="s">
        <v>181</v>
      </c>
      <c r="E9" s="236"/>
      <c r="F9" s="236"/>
      <c r="G9" s="236"/>
      <c r="H9" s="236"/>
      <c r="I9" s="236"/>
    </row>
    <row r="10" spans="1:9" ht="14.25" customHeight="1">
      <c r="B10" s="235" t="s">
        <v>124</v>
      </c>
      <c r="C10" s="235"/>
      <c r="D10" s="236" t="s">
        <v>153</v>
      </c>
      <c r="E10" s="236"/>
      <c r="F10" s="236"/>
      <c r="G10" s="236"/>
      <c r="H10" s="236"/>
      <c r="I10" s="236"/>
    </row>
    <row r="11" spans="1:9" ht="14.25" customHeight="1">
      <c r="B11" s="226" t="s">
        <v>125</v>
      </c>
      <c r="C11" s="226"/>
      <c r="D11" s="240">
        <f>SUM(I15:I20)</f>
        <v>124.66111489420001</v>
      </c>
      <c r="E11" s="240"/>
      <c r="F11" s="240"/>
      <c r="G11" s="240"/>
      <c r="H11" s="240"/>
      <c r="I11" s="240"/>
    </row>
    <row r="12" spans="1:9">
      <c r="B12" s="102"/>
      <c r="C12" s="102"/>
      <c r="D12" s="103"/>
      <c r="E12" s="103"/>
      <c r="F12" s="103"/>
      <c r="G12" s="103"/>
      <c r="H12" s="103"/>
      <c r="I12" s="103"/>
    </row>
    <row r="13" spans="1:9">
      <c r="B13" s="102"/>
      <c r="C13" s="102"/>
      <c r="D13" s="103"/>
      <c r="E13" s="103"/>
      <c r="F13" s="103"/>
      <c r="G13" s="103"/>
      <c r="H13" s="103"/>
      <c r="I13" s="103"/>
    </row>
    <row r="14" spans="1:9" ht="30">
      <c r="B14" s="104"/>
      <c r="C14" s="104" t="s">
        <v>148</v>
      </c>
      <c r="D14" s="104" t="s">
        <v>123</v>
      </c>
      <c r="E14" s="104" t="s">
        <v>147</v>
      </c>
      <c r="F14" s="104" t="s">
        <v>124</v>
      </c>
      <c r="G14" s="104" t="s">
        <v>287</v>
      </c>
      <c r="H14" s="104" t="s">
        <v>149</v>
      </c>
      <c r="I14" s="104" t="s">
        <v>125</v>
      </c>
    </row>
    <row r="15" spans="1:9" ht="25.5">
      <c r="B15" s="181" t="s">
        <v>150</v>
      </c>
      <c r="C15" s="181" t="s">
        <v>290</v>
      </c>
      <c r="D15" s="181" t="s">
        <v>291</v>
      </c>
      <c r="E15" s="181" t="s">
        <v>292</v>
      </c>
      <c r="F15" s="181" t="s">
        <v>153</v>
      </c>
      <c r="G15" s="182">
        <f>$G$16*0.0341</f>
        <v>4.0352528942000001</v>
      </c>
      <c r="H15" s="107">
        <v>1</v>
      </c>
      <c r="I15" s="123">
        <f t="shared" ref="I15:I20" si="0">G15*H15</f>
        <v>4.0352528942000001</v>
      </c>
    </row>
    <row r="16" spans="1:9">
      <c r="B16" s="105" t="s">
        <v>182</v>
      </c>
      <c r="C16" s="105" t="s">
        <v>183</v>
      </c>
      <c r="D16" s="105" t="s">
        <v>166</v>
      </c>
      <c r="E16" s="105" t="s">
        <v>184</v>
      </c>
      <c r="F16" s="105" t="s">
        <v>153</v>
      </c>
      <c r="G16" s="107">
        <f>'Custo Eng. Eletricista'!C13</f>
        <v>118.33586200000001</v>
      </c>
      <c r="H16" s="107">
        <v>1</v>
      </c>
      <c r="I16" s="123">
        <f t="shared" si="0"/>
        <v>118.33586200000001</v>
      </c>
    </row>
    <row r="17" spans="2:9" ht="25.5">
      <c r="B17" s="105" t="s">
        <v>182</v>
      </c>
      <c r="C17" s="105" t="s">
        <v>185</v>
      </c>
      <c r="D17" s="105" t="s">
        <v>186</v>
      </c>
      <c r="E17" s="105" t="s">
        <v>285</v>
      </c>
      <c r="F17" s="105" t="s">
        <v>153</v>
      </c>
      <c r="G17" s="107">
        <v>1.43</v>
      </c>
      <c r="H17" s="107">
        <v>1</v>
      </c>
      <c r="I17" s="123">
        <f t="shared" si="0"/>
        <v>1.43</v>
      </c>
    </row>
    <row r="18" spans="2:9" ht="25.5">
      <c r="B18" s="105" t="s">
        <v>182</v>
      </c>
      <c r="C18" s="105" t="s">
        <v>187</v>
      </c>
      <c r="D18" s="105" t="s">
        <v>188</v>
      </c>
      <c r="E18" s="105" t="s">
        <v>285</v>
      </c>
      <c r="F18" s="105" t="s">
        <v>153</v>
      </c>
      <c r="G18" s="107">
        <v>0.08</v>
      </c>
      <c r="H18" s="107">
        <v>1</v>
      </c>
      <c r="I18" s="123">
        <f t="shared" si="0"/>
        <v>0.08</v>
      </c>
    </row>
    <row r="19" spans="2:9" ht="25.5">
      <c r="B19" s="105" t="s">
        <v>182</v>
      </c>
      <c r="C19" s="105" t="s">
        <v>189</v>
      </c>
      <c r="D19" s="105" t="s">
        <v>190</v>
      </c>
      <c r="E19" s="105" t="s">
        <v>285</v>
      </c>
      <c r="F19" s="105" t="s">
        <v>153</v>
      </c>
      <c r="G19" s="107">
        <v>0.01</v>
      </c>
      <c r="H19" s="107">
        <v>1</v>
      </c>
      <c r="I19" s="123">
        <f t="shared" si="0"/>
        <v>0.01</v>
      </c>
    </row>
    <row r="20" spans="2:9" ht="25.5">
      <c r="B20" s="105" t="s">
        <v>182</v>
      </c>
      <c r="C20" s="105" t="s">
        <v>191</v>
      </c>
      <c r="D20" s="105" t="s">
        <v>192</v>
      </c>
      <c r="E20" s="105" t="s">
        <v>285</v>
      </c>
      <c r="F20" s="105" t="s">
        <v>153</v>
      </c>
      <c r="G20" s="107">
        <v>0.77</v>
      </c>
      <c r="H20" s="107">
        <v>1</v>
      </c>
      <c r="I20" s="123">
        <f t="shared" si="0"/>
        <v>0.77</v>
      </c>
    </row>
    <row r="21" spans="2:9" ht="66" customHeight="1">
      <c r="B21" s="238" t="s">
        <v>293</v>
      </c>
      <c r="C21" s="239"/>
      <c r="D21" s="239"/>
      <c r="E21" s="239"/>
      <c r="F21" s="239"/>
      <c r="G21" s="239"/>
      <c r="H21" s="239"/>
      <c r="I21" s="239"/>
    </row>
  </sheetData>
  <mergeCells count="17">
    <mergeCell ref="B21:I21"/>
    <mergeCell ref="B10:C10"/>
    <mergeCell ref="D10:I10"/>
    <mergeCell ref="B11:C11"/>
    <mergeCell ref="D11:I11"/>
    <mergeCell ref="B7:C7"/>
    <mergeCell ref="D7:I7"/>
    <mergeCell ref="B8:C8"/>
    <mergeCell ref="D8:I8"/>
    <mergeCell ref="B9:C9"/>
    <mergeCell ref="D9:I9"/>
    <mergeCell ref="B2:I2"/>
    <mergeCell ref="B4:I4"/>
    <mergeCell ref="B5:C5"/>
    <mergeCell ref="D5:I5"/>
    <mergeCell ref="B6:C6"/>
    <mergeCell ref="D6:I6"/>
  </mergeCells>
  <pageMargins left="0.51180555555555596" right="0.51180555555555596" top="0.78749999999999998" bottom="0.78749999999999998"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AMJ25"/>
  <sheetViews>
    <sheetView zoomScaleNormal="100" workbookViewId="0">
      <selection activeCell="D20" sqref="D20"/>
    </sheetView>
  </sheetViews>
  <sheetFormatPr defaultColWidth="10.5" defaultRowHeight="14.25"/>
  <cols>
    <col min="1" max="1" width="5.25" style="124" customWidth="1"/>
    <col min="2" max="2" width="54.75" style="124" customWidth="1"/>
    <col min="3" max="3" width="38.75" style="124" customWidth="1"/>
    <col min="4" max="4" width="31.125" style="124" customWidth="1"/>
    <col min="5" max="1024" width="10.5" style="124"/>
  </cols>
  <sheetData>
    <row r="1" spans="2:3" ht="15" customHeight="1"/>
    <row r="2" spans="2:3">
      <c r="C2" s="125" t="s">
        <v>146</v>
      </c>
    </row>
    <row r="3" spans="2:3">
      <c r="B3" s="126" t="s">
        <v>193</v>
      </c>
      <c r="C3" s="125" t="s">
        <v>194</v>
      </c>
    </row>
    <row r="4" spans="2:3" ht="15">
      <c r="B4" s="126" t="s">
        <v>195</v>
      </c>
      <c r="C4" s="172" t="s">
        <v>196</v>
      </c>
    </row>
    <row r="5" spans="2:3">
      <c r="B5" s="126" t="s">
        <v>169</v>
      </c>
      <c r="C5" s="173" t="s">
        <v>197</v>
      </c>
    </row>
    <row r="6" spans="2:3" ht="25.5">
      <c r="B6" s="126" t="s">
        <v>198</v>
      </c>
      <c r="C6" s="172" t="s">
        <v>199</v>
      </c>
    </row>
    <row r="7" spans="2:3">
      <c r="B7" s="126" t="s">
        <v>200</v>
      </c>
      <c r="C7" s="174">
        <v>2228.6</v>
      </c>
    </row>
    <row r="8" spans="2:3">
      <c r="B8" s="127"/>
      <c r="C8" s="128"/>
    </row>
    <row r="9" spans="2:3" ht="25.5">
      <c r="B9" s="129" t="s">
        <v>201</v>
      </c>
      <c r="C9" s="126"/>
    </row>
    <row r="10" spans="2:3">
      <c r="B10" s="126" t="s">
        <v>173</v>
      </c>
      <c r="C10" s="130">
        <v>0.9022</v>
      </c>
    </row>
    <row r="11" spans="2:3">
      <c r="B11" s="126" t="s">
        <v>202</v>
      </c>
      <c r="C11" s="130">
        <v>0.51859999999999995</v>
      </c>
    </row>
    <row r="12" spans="2:3">
      <c r="B12" s="126" t="s">
        <v>174</v>
      </c>
      <c r="C12" s="130">
        <v>1.1284000000000001</v>
      </c>
    </row>
    <row r="13" spans="2:3">
      <c r="B13" s="126" t="s">
        <v>203</v>
      </c>
      <c r="C13" s="130">
        <v>0.69950000000000001</v>
      </c>
    </row>
    <row r="14" spans="2:3" ht="13.5" customHeight="1">
      <c r="B14" s="127"/>
      <c r="C14" s="127"/>
    </row>
    <row r="15" spans="2:3">
      <c r="B15" s="131" t="s">
        <v>204</v>
      </c>
      <c r="C15" s="132"/>
    </row>
    <row r="16" spans="2:3" ht="15.75">
      <c r="B16" s="133" t="s">
        <v>205</v>
      </c>
      <c r="C16" s="132">
        <f>C7*(1+C11)</f>
        <v>3384.35196</v>
      </c>
    </row>
    <row r="17" spans="2:3" ht="15.75">
      <c r="B17" s="133" t="s">
        <v>206</v>
      </c>
      <c r="C17" s="132">
        <f>C7*(1+C13)</f>
        <v>3787.5056999999997</v>
      </c>
    </row>
    <row r="18" spans="2:3" ht="15.75">
      <c r="B18" s="133" t="s">
        <v>207</v>
      </c>
      <c r="C18" s="134">
        <f>C16*(1+C10)/(220*(1+C11))</f>
        <v>19.269286000000001</v>
      </c>
    </row>
    <row r="19" spans="2:3" ht="15.75">
      <c r="B19" s="133" t="s">
        <v>208</v>
      </c>
      <c r="C19" s="134">
        <f>(C17*(1+C12)/(220*(1+C13)))</f>
        <v>21.560692</v>
      </c>
    </row>
    <row r="21" spans="2:3">
      <c r="B21" s="175" t="s">
        <v>209</v>
      </c>
    </row>
    <row r="22" spans="2:3" ht="90.75" customHeight="1">
      <c r="B22" s="242" t="s">
        <v>294</v>
      </c>
      <c r="C22" s="243"/>
    </row>
    <row r="23" spans="2:3" ht="42" customHeight="1">
      <c r="B23" s="241" t="s">
        <v>295</v>
      </c>
      <c r="C23" s="241"/>
    </row>
    <row r="24" spans="2:3" ht="41.25" customHeight="1">
      <c r="B24" s="241" t="s">
        <v>296</v>
      </c>
      <c r="C24" s="241"/>
    </row>
    <row r="25" spans="2:3" ht="33.75" customHeight="1">
      <c r="B25" s="241" t="s">
        <v>297</v>
      </c>
      <c r="C25" s="241"/>
    </row>
  </sheetData>
  <mergeCells count="4">
    <mergeCell ref="B23:C23"/>
    <mergeCell ref="B24:C24"/>
    <mergeCell ref="B25:C25"/>
    <mergeCell ref="B22:C22"/>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06c7f7c-e32b-4162-b9b5-46b4313c91a4" xsi:nil="true"/>
    <lcf76f155ced4ddcb4097134ff3c332f xmlns="132d983b-bc52-4905-b3a2-4655d790e7b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371AF4B6DB407844954F4A0779E09E62" ma:contentTypeVersion="15" ma:contentTypeDescription="Crie um novo documento." ma:contentTypeScope="" ma:versionID="b860c048ab8ab88d68df708b8fe4e77e">
  <xsd:schema xmlns:xsd="http://www.w3.org/2001/XMLSchema" xmlns:xs="http://www.w3.org/2001/XMLSchema" xmlns:p="http://schemas.microsoft.com/office/2006/metadata/properties" xmlns:ns2="132d983b-bc52-4905-b3a2-4655d790e7be" xmlns:ns3="706c7f7c-e32b-4162-b9b5-46b4313c91a4" targetNamespace="http://schemas.microsoft.com/office/2006/metadata/properties" ma:root="true" ma:fieldsID="958e0ea840b2a59d61f2390a6dfde9d4" ns2:_="" ns3:_="">
    <xsd:import namespace="132d983b-bc52-4905-b3a2-4655d790e7be"/>
    <xsd:import namespace="706c7f7c-e32b-4162-b9b5-46b4313c91a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Location"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2d983b-bc52-4905-b3a2-4655d790e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7d2b257a-edbe-488f-835c-3573813fd518"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6c7f7c-e32b-4162-b9b5-46b4313c91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f18eca9-47da-4d69-a3d5-17174d6bff42}" ma:internalName="TaxCatchAll" ma:showField="CatchAllData" ma:web="706c7f7c-e32b-4162-b9b5-46b4313c91a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1AE7EF-381D-4817-9D8B-196CCC7CA64A}">
  <ds:schemaRefs>
    <ds:schemaRef ds:uri="http://purl.org/dc/dcmitype/"/>
    <ds:schemaRef ds:uri="http://schemas.openxmlformats.org/package/2006/metadata/core-properties"/>
    <ds:schemaRef ds:uri="http://schemas.microsoft.com/office/infopath/2007/PartnerControls"/>
    <ds:schemaRef ds:uri="http://schemas.microsoft.com/office/2006/documentManagement/types"/>
    <ds:schemaRef ds:uri="http://purl.org/dc/terms/"/>
    <ds:schemaRef ds:uri="132d983b-bc52-4905-b3a2-4655d790e7be"/>
    <ds:schemaRef ds:uri="http://www.w3.org/XML/1998/namespace"/>
    <ds:schemaRef ds:uri="706c7f7c-e32b-4162-b9b5-46b4313c91a4"/>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B5536681-819C-4302-A38A-4A540AD4B739}">
  <ds:schemaRefs>
    <ds:schemaRef ds:uri="http://schemas.microsoft.com/sharepoint/v3/contenttype/forms"/>
  </ds:schemaRefs>
</ds:datastoreItem>
</file>

<file path=customXml/itemProps3.xml><?xml version="1.0" encoding="utf-8"?>
<ds:datastoreItem xmlns:ds="http://schemas.openxmlformats.org/officeDocument/2006/customXml" ds:itemID="{DA8A18D9-E5A9-42F0-99CF-413FE94029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2d983b-bc52-4905-b3a2-4655d790e7be"/>
    <ds:schemaRef ds:uri="706c7f7c-e32b-4162-b9b5-46b4313c91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5</vt:i4>
      </vt:variant>
    </vt:vector>
  </HeadingPairs>
  <TitlesOfParts>
    <vt:vector size="17" baseType="lpstr">
      <vt:lpstr>Valor da Contratação</vt:lpstr>
      <vt:lpstr>Resumo</vt:lpstr>
      <vt:lpstr>Equipe Técnica</vt:lpstr>
      <vt:lpstr>Base PF</vt:lpstr>
      <vt:lpstr>Desl. Base PF</vt:lpstr>
      <vt:lpstr>Comp. Veículo</vt:lpstr>
      <vt:lpstr>Custo Eng. Eletricista</vt:lpstr>
      <vt:lpstr>Comp. Eng. Eletricista</vt:lpstr>
      <vt:lpstr>Custo Oficial de Manutenção</vt:lpstr>
      <vt:lpstr>Comp. Oficial de Manutenção</vt:lpstr>
      <vt:lpstr>Unidades</vt:lpstr>
      <vt:lpstr>BDI</vt:lpstr>
      <vt:lpstr>'Base PF'!Area_de_impressao</vt:lpstr>
      <vt:lpstr>BDI!Area_de_impressao</vt:lpstr>
      <vt:lpstr>'Desl. Base PF'!Area_de_impressao</vt:lpstr>
      <vt:lpstr>'Equipe Técnica'!Area_de_impressao</vt:lpstr>
      <vt:lpstr>Unidades!Area_de_impressao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 Carolina Alves Miranda</dc:creator>
  <cp:keywords/>
  <dc:description/>
  <cp:lastModifiedBy>RODRIGO SANTOS</cp:lastModifiedBy>
  <cp:revision>39</cp:revision>
  <dcterms:created xsi:type="dcterms:W3CDTF">2022-02-01T12:05:24Z</dcterms:created>
  <dcterms:modified xsi:type="dcterms:W3CDTF">2025-06-23T15:04:05Z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0x010100371AF4B6DB407844954F4A0779E09E62</vt:lpwstr>
  </property>
  <property fmtid="{D5CDD505-2E9C-101B-9397-08002B2CF9AE}" pid="3" name="HyperlinksChanged">
    <vt:bool>false</vt:bool>
  </property>
  <property fmtid="{D5CDD505-2E9C-101B-9397-08002B2CF9AE}" pid="4" name="LinksUpToDate">
    <vt:bool>false</vt:bool>
  </property>
  <property fmtid="{D5CDD505-2E9C-101B-9397-08002B2CF9AE}" pid="5" name="MediaServiceImageTags">
    <vt:lpwstr/>
  </property>
  <property fmtid="{D5CDD505-2E9C-101B-9397-08002B2CF9AE}" pid="6" name="ScaleCrop">
    <vt:bool>false</vt:bool>
  </property>
  <property fmtid="{D5CDD505-2E9C-101B-9397-08002B2CF9AE}" pid="7" name="ShareDoc">
    <vt:bool>false</vt:bool>
  </property>
</Properties>
</file>